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15480" windowHeight="9120" tabRatio="856" activeTab="1"/>
  </bookViews>
  <sheets>
    <sheet name="для ФУ" sheetId="11" r:id="rId1"/>
    <sheet name="расчет свод" sheetId="7" r:id="rId2"/>
  </sheets>
  <definedNames>
    <definedName name="иные" localSheetId="0">#REF!</definedName>
    <definedName name="материальные_запасы_основные_средства" localSheetId="0">#REF!</definedName>
    <definedName name="_xlnm.Print_Area" localSheetId="0">'для ФУ'!$A$1:$O$11</definedName>
    <definedName name="_xlnm.Print_Area" localSheetId="1">'расчет свод'!$A$1:$AI$133</definedName>
    <definedName name="оплата_труда" localSheetId="0">#REF!</definedName>
    <definedName name="Список" localSheetId="0">#REF!</definedName>
  </definedNames>
  <calcPr calcId="124519"/>
</workbook>
</file>

<file path=xl/calcChain.xml><?xml version="1.0" encoding="utf-8"?>
<calcChain xmlns="http://schemas.openxmlformats.org/spreadsheetml/2006/main">
  <c r="AH33" i="7"/>
  <c r="AH34"/>
  <c r="AH36"/>
  <c r="AH38"/>
  <c r="AL38" s="1"/>
  <c r="Q23"/>
  <c r="E23"/>
  <c r="E28"/>
  <c r="Q28"/>
  <c r="Q29"/>
  <c r="E29"/>
  <c r="Q27"/>
  <c r="E27"/>
  <c r="Q26"/>
  <c r="E26"/>
  <c r="Q25"/>
  <c r="E25"/>
  <c r="Q24"/>
  <c r="E24"/>
  <c r="Q22"/>
  <c r="E22"/>
  <c r="Q21"/>
  <c r="E21"/>
  <c r="Q20"/>
  <c r="E20"/>
  <c r="Q50"/>
  <c r="E50"/>
  <c r="Q49"/>
  <c r="E49"/>
  <c r="Q48"/>
  <c r="E48"/>
  <c r="AL118"/>
  <c r="P118"/>
  <c r="D118"/>
  <c r="P117"/>
  <c r="D117"/>
  <c r="P116"/>
  <c r="D116"/>
  <c r="P115"/>
  <c r="D115"/>
  <c r="P114"/>
  <c r="D114"/>
  <c r="P113"/>
  <c r="D113"/>
  <c r="P112"/>
  <c r="D112"/>
  <c r="P111"/>
  <c r="D111"/>
  <c r="P110"/>
  <c r="D110"/>
  <c r="P109"/>
  <c r="D109"/>
  <c r="P108"/>
  <c r="D108"/>
  <c r="P107"/>
  <c r="D107"/>
  <c r="P106"/>
  <c r="D106"/>
  <c r="P105"/>
  <c r="D105"/>
  <c r="P104"/>
  <c r="D104"/>
  <c r="P103"/>
  <c r="D103"/>
  <c r="P102"/>
  <c r="D102"/>
  <c r="P101"/>
  <c r="D101"/>
  <c r="P100"/>
  <c r="D100"/>
  <c r="P99"/>
  <c r="D99"/>
  <c r="P98"/>
  <c r="D98"/>
  <c r="P97"/>
  <c r="D97"/>
  <c r="P96"/>
  <c r="D96"/>
  <c r="P95"/>
  <c r="D95"/>
  <c r="P69"/>
  <c r="D69"/>
  <c r="P68"/>
  <c r="D68"/>
  <c r="P67"/>
  <c r="D67"/>
  <c r="P66"/>
  <c r="D66"/>
  <c r="P65"/>
  <c r="D65"/>
  <c r="P64"/>
  <c r="D64"/>
  <c r="P63"/>
  <c r="D63"/>
  <c r="AJ58"/>
  <c r="P60" l="1"/>
  <c r="D60"/>
  <c r="P58"/>
  <c r="D58"/>
  <c r="P57"/>
  <c r="D57"/>
  <c r="P56"/>
  <c r="D56"/>
  <c r="P79"/>
  <c r="D79"/>
  <c r="P76"/>
  <c r="D76"/>
  <c r="P75"/>
  <c r="D75"/>
  <c r="P74"/>
  <c r="D74"/>
  <c r="AF92"/>
  <c r="D87"/>
  <c r="P87"/>
  <c r="D86"/>
  <c r="D85"/>
  <c r="P85"/>
  <c r="AG8"/>
  <c r="D84"/>
  <c r="P84"/>
  <c r="P88"/>
  <c r="D88"/>
  <c r="P86"/>
  <c r="P83"/>
  <c r="D83"/>
  <c r="P82"/>
  <c r="D82"/>
  <c r="U8"/>
  <c r="U9"/>
  <c r="C14"/>
  <c r="O14"/>
  <c r="C11"/>
  <c r="O11"/>
  <c r="C10"/>
  <c r="O10"/>
  <c r="O9"/>
  <c r="C9"/>
  <c r="O12"/>
  <c r="C12"/>
  <c r="O8"/>
  <c r="C8"/>
  <c r="AH143"/>
  <c r="AF143"/>
  <c r="AE143"/>
  <c r="M64"/>
  <c r="N64"/>
  <c r="B64" s="1"/>
  <c r="M65"/>
  <c r="A65" s="1"/>
  <c r="N65"/>
  <c r="M66"/>
  <c r="N66"/>
  <c r="B66" s="1"/>
  <c r="M67"/>
  <c r="A67" s="1"/>
  <c r="N67"/>
  <c r="M68"/>
  <c r="N68"/>
  <c r="B68" s="1"/>
  <c r="M69"/>
  <c r="A69" s="1"/>
  <c r="N69"/>
  <c r="B69" s="1"/>
  <c r="N63"/>
  <c r="M63"/>
  <c r="A64"/>
  <c r="B65"/>
  <c r="A66"/>
  <c r="B67"/>
  <c r="A68"/>
  <c r="A63"/>
  <c r="AL68"/>
  <c r="AB68"/>
  <c r="T68"/>
  <c r="H68"/>
  <c r="AM61" l="1"/>
  <c r="AL61"/>
  <c r="AF86"/>
  <c r="AF91"/>
  <c r="AF88"/>
  <c r="AF90"/>
  <c r="AF87"/>
  <c r="AF85"/>
  <c r="AF89"/>
  <c r="T88"/>
  <c r="H88" s="1"/>
  <c r="AD88"/>
  <c r="M83"/>
  <c r="A83" s="1"/>
  <c r="N83"/>
  <c r="B83" s="1"/>
  <c r="M84"/>
  <c r="N84"/>
  <c r="M85"/>
  <c r="A85" s="1"/>
  <c r="N85"/>
  <c r="B85" s="1"/>
  <c r="M86"/>
  <c r="N86"/>
  <c r="M87"/>
  <c r="A87" s="1"/>
  <c r="N87"/>
  <c r="B87" s="1"/>
  <c r="M88"/>
  <c r="N88"/>
  <c r="B88" s="1"/>
  <c r="M89"/>
  <c r="A89" s="1"/>
  <c r="N89"/>
  <c r="B89" s="1"/>
  <c r="M90"/>
  <c r="A90" s="1"/>
  <c r="N90"/>
  <c r="M91"/>
  <c r="A91" s="1"/>
  <c r="N91"/>
  <c r="B91" s="1"/>
  <c r="M92"/>
  <c r="N92"/>
  <c r="N82"/>
  <c r="M82"/>
  <c r="A84"/>
  <c r="B84"/>
  <c r="A86"/>
  <c r="B86"/>
  <c r="A88"/>
  <c r="B90"/>
  <c r="A92"/>
  <c r="B92"/>
  <c r="B82"/>
  <c r="A82"/>
  <c r="AF82"/>
  <c r="T82"/>
  <c r="H82" s="1"/>
  <c r="AF84"/>
  <c r="AF83"/>
  <c r="U11"/>
  <c r="U13"/>
  <c r="R13"/>
  <c r="Q13" s="1"/>
  <c r="S13" s="1"/>
  <c r="V13" s="1"/>
  <c r="I13"/>
  <c r="A9"/>
  <c r="B9"/>
  <c r="A10"/>
  <c r="B10"/>
  <c r="A11"/>
  <c r="B11"/>
  <c r="A12"/>
  <c r="B12"/>
  <c r="A13"/>
  <c r="B13"/>
  <c r="A14"/>
  <c r="B14"/>
  <c r="B8"/>
  <c r="A8"/>
  <c r="AY10"/>
  <c r="AG155" l="1"/>
  <c r="I35" l="1"/>
  <c r="I34"/>
  <c r="C37"/>
  <c r="B37"/>
  <c r="I27"/>
  <c r="C27"/>
  <c r="B27"/>
  <c r="AM25"/>
  <c r="I25"/>
  <c r="C25"/>
  <c r="B25"/>
  <c r="AJ89"/>
  <c r="AJ90"/>
  <c r="AJ91"/>
  <c r="AJ92"/>
  <c r="AL75"/>
  <c r="U14"/>
  <c r="U12"/>
  <c r="AJ120"/>
  <c r="AJ121"/>
  <c r="AJ122"/>
  <c r="AJ123"/>
  <c r="AJ124"/>
  <c r="AJ125"/>
  <c r="AJ126"/>
  <c r="AJ127"/>
  <c r="AJ128"/>
  <c r="AJ129"/>
  <c r="AJ130"/>
  <c r="C126"/>
  <c r="A127"/>
  <c r="B128"/>
  <c r="H119"/>
  <c r="H120"/>
  <c r="H122"/>
  <c r="H123"/>
  <c r="H124"/>
  <c r="H126"/>
  <c r="H127"/>
  <c r="H128"/>
  <c r="H130"/>
  <c r="M126"/>
  <c r="A126" s="1"/>
  <c r="N126"/>
  <c r="B126" s="1"/>
  <c r="M127"/>
  <c r="N127"/>
  <c r="B127" s="1"/>
  <c r="M128"/>
  <c r="A128" s="1"/>
  <c r="N128"/>
  <c r="M129"/>
  <c r="A129" s="1"/>
  <c r="N129"/>
  <c r="B129" s="1"/>
  <c r="M130"/>
  <c r="A130" s="1"/>
  <c r="N130"/>
  <c r="B130" s="1"/>
  <c r="O126"/>
  <c r="O127"/>
  <c r="C127" s="1"/>
  <c r="O128"/>
  <c r="C128" s="1"/>
  <c r="T119"/>
  <c r="T120"/>
  <c r="T121"/>
  <c r="H121" s="1"/>
  <c r="T122"/>
  <c r="T123"/>
  <c r="T124"/>
  <c r="T125"/>
  <c r="H125" s="1"/>
  <c r="T126"/>
  <c r="T127"/>
  <c r="T128"/>
  <c r="T129"/>
  <c r="H129" s="1"/>
  <c r="T130"/>
  <c r="AI144" l="1"/>
  <c r="AI143"/>
  <c r="AE155" l="1"/>
  <c r="O96"/>
  <c r="C96" s="1"/>
  <c r="O97"/>
  <c r="O98"/>
  <c r="O99"/>
  <c r="O100"/>
  <c r="C100" s="1"/>
  <c r="O101"/>
  <c r="O102"/>
  <c r="O103"/>
  <c r="O104"/>
  <c r="C104" s="1"/>
  <c r="O105"/>
  <c r="O106"/>
  <c r="O107"/>
  <c r="O108"/>
  <c r="C108" s="1"/>
  <c r="O109"/>
  <c r="O110"/>
  <c r="O111"/>
  <c r="O112"/>
  <c r="C112" s="1"/>
  <c r="O113"/>
  <c r="O114"/>
  <c r="O115"/>
  <c r="O116"/>
  <c r="O117"/>
  <c r="O118"/>
  <c r="O119"/>
  <c r="O120"/>
  <c r="O121"/>
  <c r="O122"/>
  <c r="O123"/>
  <c r="O124"/>
  <c r="O125"/>
  <c r="C125" s="1"/>
  <c r="O129"/>
  <c r="C129" s="1"/>
  <c r="O130"/>
  <c r="C130" s="1"/>
  <c r="O95"/>
  <c r="C95" s="1"/>
  <c r="C97"/>
  <c r="C98"/>
  <c r="C99"/>
  <c r="C101"/>
  <c r="C102"/>
  <c r="C103"/>
  <c r="C105"/>
  <c r="C106"/>
  <c r="C107"/>
  <c r="C109"/>
  <c r="C110"/>
  <c r="C111"/>
  <c r="C113"/>
  <c r="C114"/>
  <c r="C115"/>
  <c r="C116"/>
  <c r="C117"/>
  <c r="C118"/>
  <c r="C119"/>
  <c r="C120"/>
  <c r="C121"/>
  <c r="C122"/>
  <c r="C123"/>
  <c r="C124"/>
  <c r="AP118"/>
  <c r="T118"/>
  <c r="AL111"/>
  <c r="AP97"/>
  <c r="T110"/>
  <c r="H110" s="1"/>
  <c r="M96"/>
  <c r="A96" s="1"/>
  <c r="M97"/>
  <c r="M98"/>
  <c r="A98" s="1"/>
  <c r="M99"/>
  <c r="A99" s="1"/>
  <c r="M100"/>
  <c r="A100" s="1"/>
  <c r="M101"/>
  <c r="M102"/>
  <c r="A102" s="1"/>
  <c r="M103"/>
  <c r="A103" s="1"/>
  <c r="M104"/>
  <c r="A104" s="1"/>
  <c r="M105"/>
  <c r="M106"/>
  <c r="M107"/>
  <c r="A107" s="1"/>
  <c r="M108"/>
  <c r="A108" s="1"/>
  <c r="M109"/>
  <c r="A109" s="1"/>
  <c r="M110"/>
  <c r="A110" s="1"/>
  <c r="M111"/>
  <c r="A111" s="1"/>
  <c r="M112"/>
  <c r="M113"/>
  <c r="M114"/>
  <c r="A114" s="1"/>
  <c r="M115"/>
  <c r="A115" s="1"/>
  <c r="M116"/>
  <c r="A116" s="1"/>
  <c r="M117"/>
  <c r="A117" s="1"/>
  <c r="M118"/>
  <c r="A118" s="1"/>
  <c r="M119"/>
  <c r="A119" s="1"/>
  <c r="M120"/>
  <c r="M121"/>
  <c r="M122"/>
  <c r="A122" s="1"/>
  <c r="M123"/>
  <c r="M124"/>
  <c r="A124" s="1"/>
  <c r="M125"/>
  <c r="A125" s="1"/>
  <c r="M95"/>
  <c r="A95" s="1"/>
  <c r="A97"/>
  <c r="A101"/>
  <c r="A105"/>
  <c r="A106"/>
  <c r="A112"/>
  <c r="A113"/>
  <c r="A120"/>
  <c r="A121"/>
  <c r="A123"/>
  <c r="N110"/>
  <c r="B110" s="1"/>
  <c r="AL104"/>
  <c r="AL103"/>
  <c r="N96"/>
  <c r="B96" s="1"/>
  <c r="N97"/>
  <c r="N98"/>
  <c r="B98" s="1"/>
  <c r="N99"/>
  <c r="B99" s="1"/>
  <c r="N100"/>
  <c r="N101"/>
  <c r="N103"/>
  <c r="B103" s="1"/>
  <c r="N104"/>
  <c r="B104" s="1"/>
  <c r="N105"/>
  <c r="B105" s="1"/>
  <c r="N106"/>
  <c r="N107"/>
  <c r="B107" s="1"/>
  <c r="N108"/>
  <c r="N109"/>
  <c r="B109" s="1"/>
  <c r="N111"/>
  <c r="N112"/>
  <c r="B112" s="1"/>
  <c r="N113"/>
  <c r="B113" s="1"/>
  <c r="N115"/>
  <c r="B115" s="1"/>
  <c r="N116"/>
  <c r="B116" s="1"/>
  <c r="N117"/>
  <c r="B117" s="1"/>
  <c r="N118"/>
  <c r="B118" s="1"/>
  <c r="N119"/>
  <c r="B119" s="1"/>
  <c r="N120"/>
  <c r="N121"/>
  <c r="B121" s="1"/>
  <c r="N122"/>
  <c r="B122" s="1"/>
  <c r="N123"/>
  <c r="B123" s="1"/>
  <c r="N124"/>
  <c r="N125"/>
  <c r="B125" s="1"/>
  <c r="N95"/>
  <c r="B95" s="1"/>
  <c r="B97"/>
  <c r="B100"/>
  <c r="B101"/>
  <c r="B106"/>
  <c r="B108"/>
  <c r="B111"/>
  <c r="B120"/>
  <c r="B124"/>
  <c r="M9" i="11"/>
  <c r="M10"/>
  <c r="M7"/>
  <c r="M6"/>
  <c r="M5"/>
  <c r="H118" i="7" l="1"/>
  <c r="AL80"/>
  <c r="AB79"/>
  <c r="AL77"/>
  <c r="B63"/>
  <c r="AL70"/>
  <c r="AL64"/>
  <c r="AL51"/>
  <c r="AJ59"/>
  <c r="AL49"/>
  <c r="P59" l="1"/>
  <c r="D59"/>
  <c r="AM35"/>
  <c r="AM36"/>
  <c r="AM37"/>
  <c r="AM38"/>
  <c r="AM39"/>
  <c r="AM40"/>
  <c r="AM41"/>
  <c r="AM42"/>
  <c r="I21"/>
  <c r="I22"/>
  <c r="I23"/>
  <c r="I24"/>
  <c r="I26"/>
  <c r="I28"/>
  <c r="I29"/>
  <c r="I30"/>
  <c r="I31"/>
  <c r="I32"/>
  <c r="I33"/>
  <c r="I20"/>
  <c r="AK44"/>
  <c r="AL44"/>
  <c r="AK36"/>
  <c r="AK37"/>
  <c r="AK38"/>
  <c r="AK39"/>
  <c r="AK40"/>
  <c r="AK41"/>
  <c r="AK42"/>
  <c r="AM21"/>
  <c r="AM22"/>
  <c r="AM23"/>
  <c r="AM24"/>
  <c r="AM26"/>
  <c r="AM27"/>
  <c r="AM28"/>
  <c r="AM29"/>
  <c r="AM30"/>
  <c r="AM31"/>
  <c r="AM32"/>
  <c r="AM33"/>
  <c r="AM34"/>
  <c r="AM20"/>
  <c r="AJ34"/>
  <c r="AJ35"/>
  <c r="AJ36"/>
  <c r="AJ37"/>
  <c r="AJ38"/>
  <c r="AJ39"/>
  <c r="AJ40"/>
  <c r="AJ41"/>
  <c r="AJ42"/>
  <c r="C34"/>
  <c r="C35"/>
  <c r="C36"/>
  <c r="C38"/>
  <c r="C39"/>
  <c r="C40"/>
  <c r="C41"/>
  <c r="C42"/>
  <c r="C21"/>
  <c r="C22"/>
  <c r="C23"/>
  <c r="C24"/>
  <c r="C26"/>
  <c r="C28"/>
  <c r="C29"/>
  <c r="C30"/>
  <c r="C31"/>
  <c r="C32"/>
  <c r="C33"/>
  <c r="C20"/>
  <c r="B21"/>
  <c r="B22"/>
  <c r="B23"/>
  <c r="B24"/>
  <c r="B26"/>
  <c r="B28"/>
  <c r="B29"/>
  <c r="B30"/>
  <c r="B31"/>
  <c r="B32"/>
  <c r="B33"/>
  <c r="B34"/>
  <c r="B35"/>
  <c r="B36"/>
  <c r="B38"/>
  <c r="B39"/>
  <c r="B40"/>
  <c r="B41"/>
  <c r="B42"/>
  <c r="B20"/>
  <c r="AC8"/>
  <c r="AX7"/>
  <c r="AY9" s="1"/>
  <c r="AX5"/>
  <c r="U10"/>
  <c r="I9" l="1"/>
  <c r="I10"/>
  <c r="I11"/>
  <c r="I12"/>
  <c r="I14"/>
  <c r="I8"/>
  <c r="AD8" l="1"/>
  <c r="AD30" s="1"/>
  <c r="AD31" s="1"/>
  <c r="AD32" s="1"/>
  <c r="AD33" s="1"/>
  <c r="AD34" s="1"/>
  <c r="AD35" s="1"/>
  <c r="AD36" s="1"/>
  <c r="AD37" s="1"/>
  <c r="AD38" s="1"/>
  <c r="AD39" s="1"/>
  <c r="R14"/>
  <c r="R12"/>
  <c r="R11"/>
  <c r="R10"/>
  <c r="R9"/>
  <c r="R8"/>
  <c r="F14"/>
  <c r="F12"/>
  <c r="F11"/>
  <c r="F10"/>
  <c r="F9"/>
  <c r="F8"/>
  <c r="AI145"/>
  <c r="AI146"/>
  <c r="AI147"/>
  <c r="AI148"/>
  <c r="AI149"/>
  <c r="AI150"/>
  <c r="AI151"/>
  <c r="AI152"/>
  <c r="AI153"/>
  <c r="AI154"/>
  <c r="AM84"/>
  <c r="F13" l="1"/>
  <c r="Q10"/>
  <c r="Q14"/>
  <c r="Q12"/>
  <c r="S12" s="1"/>
  <c r="V12" s="1"/>
  <c r="Q8"/>
  <c r="Q11"/>
  <c r="S11" s="1"/>
  <c r="V11" s="1"/>
  <c r="E8"/>
  <c r="E11"/>
  <c r="G11" s="1"/>
  <c r="J11" s="1"/>
  <c r="E10"/>
  <c r="E12"/>
  <c r="E9"/>
  <c r="E14"/>
  <c r="AI155"/>
  <c r="AK155" s="1"/>
  <c r="AH155"/>
  <c r="AM85"/>
  <c r="AL39"/>
  <c r="AD40"/>
  <c r="AF155"/>
  <c r="AL15"/>
  <c r="T79"/>
  <c r="T60"/>
  <c r="N60"/>
  <c r="B60" s="1"/>
  <c r="O60"/>
  <c r="C60" s="1"/>
  <c r="M60"/>
  <c r="A60" s="1"/>
  <c r="AJ13" l="1"/>
  <c r="E13"/>
  <c r="G13" s="1"/>
  <c r="J13" s="1"/>
  <c r="AK13" s="1"/>
  <c r="AL40"/>
  <c r="AD41"/>
  <c r="H60"/>
  <c r="AJ11"/>
  <c r="AL41" l="1"/>
  <c r="AD42"/>
  <c r="Q9"/>
  <c r="AJ8"/>
  <c r="AB82"/>
  <c r="AE8"/>
  <c r="AH8" s="1"/>
  <c r="AL8" s="1"/>
  <c r="AL92" s="1"/>
  <c r="AJ12" l="1"/>
  <c r="AJ9"/>
  <c r="AH15"/>
  <c r="AJ10"/>
  <c r="AJ14"/>
  <c r="T96" l="1"/>
  <c r="H96" s="1"/>
  <c r="T97"/>
  <c r="H97" s="1"/>
  <c r="T98"/>
  <c r="H98" s="1"/>
  <c r="T99"/>
  <c r="H99" s="1"/>
  <c r="T100"/>
  <c r="H100" s="1"/>
  <c r="T101"/>
  <c r="T102"/>
  <c r="T103"/>
  <c r="H103" s="1"/>
  <c r="T104"/>
  <c r="H104" s="1"/>
  <c r="T105"/>
  <c r="H105" s="1"/>
  <c r="T106"/>
  <c r="H106" s="1"/>
  <c r="T107"/>
  <c r="T108"/>
  <c r="H108" s="1"/>
  <c r="T109"/>
  <c r="T111"/>
  <c r="T112"/>
  <c r="H112" s="1"/>
  <c r="T113"/>
  <c r="T114"/>
  <c r="T115"/>
  <c r="T116"/>
  <c r="T117"/>
  <c r="T95"/>
  <c r="H95" s="1"/>
  <c r="T87"/>
  <c r="H87" s="1"/>
  <c r="T86"/>
  <c r="H86" s="1"/>
  <c r="T85"/>
  <c r="H85" s="1"/>
  <c r="T75"/>
  <c r="H75" s="1"/>
  <c r="T76"/>
  <c r="H76" s="1"/>
  <c r="T74"/>
  <c r="H74" s="1"/>
  <c r="T64"/>
  <c r="H64" s="1"/>
  <c r="T65"/>
  <c r="H65" s="1"/>
  <c r="T66"/>
  <c r="H66" s="1"/>
  <c r="T67"/>
  <c r="H67" s="1"/>
  <c r="T69"/>
  <c r="H69" s="1"/>
  <c r="T63"/>
  <c r="H63" s="1"/>
  <c r="I49"/>
  <c r="I50"/>
  <c r="I48"/>
  <c r="H117" l="1"/>
  <c r="H116"/>
  <c r="H115"/>
  <c r="H114"/>
  <c r="H113"/>
  <c r="H111"/>
  <c r="H109"/>
  <c r="H107"/>
  <c r="H102"/>
  <c r="H101"/>
  <c r="T83"/>
  <c r="H83" s="1"/>
  <c r="T84"/>
  <c r="H84" s="1"/>
  <c r="T57"/>
  <c r="H57" s="1"/>
  <c r="T58"/>
  <c r="H58" s="1"/>
  <c r="T59"/>
  <c r="H59" s="1"/>
  <c r="T56"/>
  <c r="H56" s="1"/>
  <c r="AD29" l="1"/>
  <c r="AE29" s="1"/>
  <c r="AH29" s="1"/>
  <c r="AL29" s="1"/>
  <c r="AD28"/>
  <c r="AE28" s="1"/>
  <c r="AH28" s="1"/>
  <c r="AL28" s="1"/>
  <c r="AD27"/>
  <c r="AE27" s="1"/>
  <c r="AH27" s="1"/>
  <c r="AL27" s="1"/>
  <c r="AD26"/>
  <c r="AE26" s="1"/>
  <c r="AH26" s="1"/>
  <c r="AL26" s="1"/>
  <c r="AD25"/>
  <c r="AE25" s="1"/>
  <c r="AH25" s="1"/>
  <c r="AL25" s="1"/>
  <c r="AD24"/>
  <c r="AE24" s="1"/>
  <c r="AH24" s="1"/>
  <c r="AL24" s="1"/>
  <c r="AD23"/>
  <c r="AE23" s="1"/>
  <c r="AH23" s="1"/>
  <c r="AL23" s="1"/>
  <c r="AD22"/>
  <c r="AE22" s="1"/>
  <c r="AH22" s="1"/>
  <c r="AL22" s="1"/>
  <c r="AD21"/>
  <c r="AE21" s="1"/>
  <c r="AH21" s="1"/>
  <c r="AL21" s="1"/>
  <c r="AD20"/>
  <c r="AE20" s="1"/>
  <c r="AH20" s="1"/>
  <c r="AL20" s="1"/>
  <c r="S8"/>
  <c r="G8"/>
  <c r="J8" s="1"/>
  <c r="AK11"/>
  <c r="F48"/>
  <c r="F31"/>
  <c r="E31" s="1"/>
  <c r="F30"/>
  <c r="E30" s="1"/>
  <c r="F29"/>
  <c r="F28"/>
  <c r="F27"/>
  <c r="F26"/>
  <c r="F25"/>
  <c r="F24"/>
  <c r="F23"/>
  <c r="F22"/>
  <c r="F21"/>
  <c r="F20"/>
  <c r="F32"/>
  <c r="E32" s="1"/>
  <c r="F49"/>
  <c r="AB86"/>
  <c r="AB83"/>
  <c r="AB76"/>
  <c r="AB74"/>
  <c r="AB67"/>
  <c r="AB66"/>
  <c r="AB65"/>
  <c r="AB64"/>
  <c r="AB63"/>
  <c r="AH42"/>
  <c r="AL42" s="1"/>
  <c r="AH51"/>
  <c r="AW6"/>
  <c r="AX6" s="1"/>
  <c r="R26"/>
  <c r="R30"/>
  <c r="R20"/>
  <c r="R48"/>
  <c r="R25"/>
  <c r="R29"/>
  <c r="S9"/>
  <c r="S14"/>
  <c r="V14" s="1"/>
  <c r="R27"/>
  <c r="R28"/>
  <c r="R24"/>
  <c r="R22"/>
  <c r="R23"/>
  <c r="R31"/>
  <c r="Q31" s="1"/>
  <c r="R49"/>
  <c r="R21"/>
  <c r="AJ27" l="1"/>
  <c r="S25"/>
  <c r="V25" s="1"/>
  <c r="G27"/>
  <c r="J27" s="1"/>
  <c r="S28"/>
  <c r="V28" s="1"/>
  <c r="Q30"/>
  <c r="S30" s="1"/>
  <c r="V30" s="1"/>
  <c r="G25"/>
  <c r="J25" s="1"/>
  <c r="AJ25"/>
  <c r="F35"/>
  <c r="G35" s="1"/>
  <c r="J35" s="1"/>
  <c r="F34"/>
  <c r="G34" s="1"/>
  <c r="J34" s="1"/>
  <c r="G22"/>
  <c r="J22" s="1"/>
  <c r="AJ26"/>
  <c r="AJ30"/>
  <c r="AJ21"/>
  <c r="AJ20"/>
  <c r="AJ28"/>
  <c r="AJ23"/>
  <c r="S31"/>
  <c r="V31" s="1"/>
  <c r="AJ31"/>
  <c r="AJ29"/>
  <c r="AJ24"/>
  <c r="AJ49"/>
  <c r="AJ48"/>
  <c r="G20"/>
  <c r="J20" s="1"/>
  <c r="G32"/>
  <c r="J32" s="1"/>
  <c r="G31"/>
  <c r="J31" s="1"/>
  <c r="S26"/>
  <c r="S22"/>
  <c r="F33"/>
  <c r="E33" s="1"/>
  <c r="D7" i="11"/>
  <c r="AE30" i="7"/>
  <c r="AH30" s="1"/>
  <c r="AL30" s="1"/>
  <c r="R50"/>
  <c r="G9"/>
  <c r="J9" s="1"/>
  <c r="AE31"/>
  <c r="AH31" s="1"/>
  <c r="AL31" s="1"/>
  <c r="V9"/>
  <c r="V8"/>
  <c r="E56"/>
  <c r="G6" i="11"/>
  <c r="R32" i="7"/>
  <c r="Q32" s="1"/>
  <c r="Q56"/>
  <c r="S48"/>
  <c r="S21"/>
  <c r="R33"/>
  <c r="Q33" s="1"/>
  <c r="G49"/>
  <c r="J49" s="1"/>
  <c r="F50"/>
  <c r="S49"/>
  <c r="G21"/>
  <c r="J21" s="1"/>
  <c r="S27" l="1"/>
  <c r="V27" s="1"/>
  <c r="AK25"/>
  <c r="AJ22"/>
  <c r="V34"/>
  <c r="AK34" s="1"/>
  <c r="V35"/>
  <c r="AK35" s="1"/>
  <c r="S32"/>
  <c r="S24"/>
  <c r="V24" s="1"/>
  <c r="G33"/>
  <c r="J33" s="1"/>
  <c r="AJ33"/>
  <c r="AK31"/>
  <c r="S29"/>
  <c r="S23"/>
  <c r="G48"/>
  <c r="J48" s="1"/>
  <c r="G30"/>
  <c r="J30" s="1"/>
  <c r="AK30" s="1"/>
  <c r="E57"/>
  <c r="G56"/>
  <c r="J56" s="1"/>
  <c r="S56"/>
  <c r="AJ50"/>
  <c r="G29"/>
  <c r="J29" s="1"/>
  <c r="G23"/>
  <c r="J23" s="1"/>
  <c r="V22"/>
  <c r="V26"/>
  <c r="S33"/>
  <c r="G7" i="11"/>
  <c r="S20" i="7"/>
  <c r="G26"/>
  <c r="J26" s="1"/>
  <c r="G28"/>
  <c r="J28" s="1"/>
  <c r="AK28" s="1"/>
  <c r="G5" i="11"/>
  <c r="G24" i="7"/>
  <c r="J24" s="1"/>
  <c r="AK8"/>
  <c r="S50"/>
  <c r="S10"/>
  <c r="G50"/>
  <c r="J50" s="1"/>
  <c r="AK9"/>
  <c r="G14"/>
  <c r="J14" s="1"/>
  <c r="G10"/>
  <c r="J10" s="1"/>
  <c r="G12"/>
  <c r="J12" s="1"/>
  <c r="AE32"/>
  <c r="V21"/>
  <c r="V48"/>
  <c r="V49"/>
  <c r="Q57"/>
  <c r="AH32" l="1"/>
  <c r="AL32" s="1"/>
  <c r="J43"/>
  <c r="AJ32"/>
  <c r="J51"/>
  <c r="AK24"/>
  <c r="AK27"/>
  <c r="AK21"/>
  <c r="AK22"/>
  <c r="E58"/>
  <c r="AK26"/>
  <c r="V23"/>
  <c r="V29"/>
  <c r="V32"/>
  <c r="V33"/>
  <c r="AK48"/>
  <c r="AK49"/>
  <c r="V10"/>
  <c r="V15" s="1"/>
  <c r="B6" i="11" s="1"/>
  <c r="V20" i="7"/>
  <c r="G57"/>
  <c r="J57" s="1"/>
  <c r="AK14"/>
  <c r="J15"/>
  <c r="B5" i="11" s="1"/>
  <c r="AK12" i="7"/>
  <c r="V50"/>
  <c r="B7" i="11"/>
  <c r="AE33" i="7"/>
  <c r="AL33" s="1"/>
  <c r="Q58"/>
  <c r="E59"/>
  <c r="V56"/>
  <c r="AK20" l="1"/>
  <c r="AK32"/>
  <c r="AK33"/>
  <c r="AK23"/>
  <c r="AK29"/>
  <c r="E60"/>
  <c r="V43"/>
  <c r="C6" i="11" s="1"/>
  <c r="AK10" i="7"/>
  <c r="C5" i="11"/>
  <c r="AK50" i="7"/>
  <c r="S57"/>
  <c r="V57" s="1"/>
  <c r="V51"/>
  <c r="AJ51" s="1"/>
  <c r="G58"/>
  <c r="J58" s="1"/>
  <c r="AJ15"/>
  <c r="D5" i="11"/>
  <c r="J52" i="7"/>
  <c r="AE34"/>
  <c r="AL34" s="1"/>
  <c r="S58"/>
  <c r="Q59"/>
  <c r="E63"/>
  <c r="AK15" l="1"/>
  <c r="AK16" s="1"/>
  <c r="AJ16" s="1"/>
  <c r="G60"/>
  <c r="J60" s="1"/>
  <c r="AK51"/>
  <c r="AK52" s="1"/>
  <c r="V52"/>
  <c r="Q60"/>
  <c r="D6" i="11"/>
  <c r="G59" i="7"/>
  <c r="J59" s="1"/>
  <c r="Q63"/>
  <c r="S59"/>
  <c r="G63"/>
  <c r="J63" s="1"/>
  <c r="E64"/>
  <c r="V58"/>
  <c r="AM15" l="1"/>
  <c r="W4" s="1"/>
  <c r="J61"/>
  <c r="E5" i="11" s="1"/>
  <c r="S60" i="7"/>
  <c r="V60" s="1"/>
  <c r="AJ52"/>
  <c r="S63"/>
  <c r="AE35"/>
  <c r="E65"/>
  <c r="G64"/>
  <c r="J64" s="1"/>
  <c r="Q69"/>
  <c r="Q64"/>
  <c r="V59"/>
  <c r="AL36" l="1"/>
  <c r="AH35"/>
  <c r="AL35" s="1"/>
  <c r="V61"/>
  <c r="E6" i="11" s="1"/>
  <c r="AJ63" i="7"/>
  <c r="S64"/>
  <c r="AE36"/>
  <c r="Q65"/>
  <c r="E66"/>
  <c r="G65"/>
  <c r="J65" s="1"/>
  <c r="V63"/>
  <c r="S69"/>
  <c r="Q74"/>
  <c r="AL37" l="1"/>
  <c r="E68"/>
  <c r="G66"/>
  <c r="J66" s="1"/>
  <c r="E67"/>
  <c r="AJ64"/>
  <c r="AJ65"/>
  <c r="S74"/>
  <c r="AE37"/>
  <c r="AH37" s="1"/>
  <c r="V64"/>
  <c r="Q76"/>
  <c r="Q75"/>
  <c r="V69"/>
  <c r="Q66"/>
  <c r="S65"/>
  <c r="G68" l="1"/>
  <c r="J68" s="1"/>
  <c r="Q67"/>
  <c r="S66"/>
  <c r="AL43"/>
  <c r="AL45" s="1"/>
  <c r="AK43"/>
  <c r="AK45" s="1"/>
  <c r="W16" s="1"/>
  <c r="AH43"/>
  <c r="S75"/>
  <c r="V74"/>
  <c r="S76"/>
  <c r="Q79"/>
  <c r="V65"/>
  <c r="Q68" l="1"/>
  <c r="AJ66"/>
  <c r="V75"/>
  <c r="AH52"/>
  <c r="C7" i="11"/>
  <c r="E69" i="7"/>
  <c r="G67"/>
  <c r="J67" s="1"/>
  <c r="V76"/>
  <c r="V66"/>
  <c r="S79"/>
  <c r="Q82"/>
  <c r="S68" l="1"/>
  <c r="V68" s="1"/>
  <c r="AJ68"/>
  <c r="Q85"/>
  <c r="Q87"/>
  <c r="Q83"/>
  <c r="S82"/>
  <c r="V82" s="1"/>
  <c r="Q86"/>
  <c r="Q84"/>
  <c r="AJ43"/>
  <c r="AJ44" s="1"/>
  <c r="AC56"/>
  <c r="AB56" s="1"/>
  <c r="AJ69"/>
  <c r="AJ67"/>
  <c r="V77"/>
  <c r="H6" i="11" s="1"/>
  <c r="E74" i="7"/>
  <c r="Q88" l="1"/>
  <c r="S88" s="1"/>
  <c r="V88" s="1"/>
  <c r="G69"/>
  <c r="J69" s="1"/>
  <c r="S67"/>
  <c r="V67" s="1"/>
  <c r="AC57"/>
  <c r="AB57" s="1"/>
  <c r="AJ74"/>
  <c r="S83"/>
  <c r="S85"/>
  <c r="S86"/>
  <c r="S84"/>
  <c r="Q95"/>
  <c r="S87"/>
  <c r="E76"/>
  <c r="E75"/>
  <c r="J70"/>
  <c r="F5" i="11" s="1"/>
  <c r="G74" i="7" l="1"/>
  <c r="J74" s="1"/>
  <c r="AE56"/>
  <c r="AH56" s="1"/>
  <c r="AK56" s="1"/>
  <c r="AC58"/>
  <c r="AB58" s="1"/>
  <c r="AJ76"/>
  <c r="V70"/>
  <c r="AJ75"/>
  <c r="V87"/>
  <c r="V84"/>
  <c r="V83"/>
  <c r="V86"/>
  <c r="V85"/>
  <c r="Q96"/>
  <c r="S95"/>
  <c r="V95" s="1"/>
  <c r="E79"/>
  <c r="S96" l="1"/>
  <c r="V96" s="1"/>
  <c r="AJ79"/>
  <c r="AM56"/>
  <c r="AE57"/>
  <c r="AH57" s="1"/>
  <c r="AK57" s="1"/>
  <c r="AM57" s="1"/>
  <c r="AC59"/>
  <c r="AB59" s="1"/>
  <c r="G76"/>
  <c r="J76" s="1"/>
  <c r="G75"/>
  <c r="J75" s="1"/>
  <c r="F6" i="11"/>
  <c r="V93" i="7"/>
  <c r="Q97"/>
  <c r="E82"/>
  <c r="E85" l="1"/>
  <c r="AJ85" s="1"/>
  <c r="E84"/>
  <c r="E87"/>
  <c r="AJ87" s="1"/>
  <c r="E83"/>
  <c r="E86"/>
  <c r="AJ86" s="1"/>
  <c r="S97"/>
  <c r="V97" s="1"/>
  <c r="AE58"/>
  <c r="AH58" s="1"/>
  <c r="AK58" s="1"/>
  <c r="AC63"/>
  <c r="AC60"/>
  <c r="AB60" s="1"/>
  <c r="G79"/>
  <c r="J77"/>
  <c r="H5" i="11" s="1"/>
  <c r="J6"/>
  <c r="Q98" i="7"/>
  <c r="E88" l="1"/>
  <c r="AJ82"/>
  <c r="G82"/>
  <c r="J82" s="1"/>
  <c r="S98"/>
  <c r="V98" s="1"/>
  <c r="AE60"/>
  <c r="AH60" s="1"/>
  <c r="AK60" s="1"/>
  <c r="AM60" s="1"/>
  <c r="AC64"/>
  <c r="AE64" s="1"/>
  <c r="AH64" s="1"/>
  <c r="AK64" s="1"/>
  <c r="AM64" s="1"/>
  <c r="AC69"/>
  <c r="AC66"/>
  <c r="AE66" s="1"/>
  <c r="AH66" s="1"/>
  <c r="AK66" s="1"/>
  <c r="AM66" s="1"/>
  <c r="AC65"/>
  <c r="AE65" s="1"/>
  <c r="AH65" s="1"/>
  <c r="AK65" s="1"/>
  <c r="AM65" s="1"/>
  <c r="AC67"/>
  <c r="AE63"/>
  <c r="AH63" s="1"/>
  <c r="AK63" s="1"/>
  <c r="AM63" s="1"/>
  <c r="AE59"/>
  <c r="AH59" s="1"/>
  <c r="AJ84"/>
  <c r="G86"/>
  <c r="J86" s="1"/>
  <c r="AJ83"/>
  <c r="E95"/>
  <c r="Q99"/>
  <c r="AE67" l="1"/>
  <c r="AH67" s="1"/>
  <c r="AK67" s="1"/>
  <c r="AM67" s="1"/>
  <c r="AC68"/>
  <c r="AE68" s="1"/>
  <c r="AH68" s="1"/>
  <c r="AK68" s="1"/>
  <c r="AM68" s="1"/>
  <c r="AJ88"/>
  <c r="S99"/>
  <c r="V99" s="1"/>
  <c r="G84"/>
  <c r="J84" s="1"/>
  <c r="G87"/>
  <c r="J87" s="1"/>
  <c r="G83"/>
  <c r="AH61"/>
  <c r="AJ61" s="1"/>
  <c r="AK59"/>
  <c r="G85"/>
  <c r="J85" s="1"/>
  <c r="AE69"/>
  <c r="AH69" s="1"/>
  <c r="AC74"/>
  <c r="AJ95"/>
  <c r="E113"/>
  <c r="E111"/>
  <c r="E108"/>
  <c r="E106"/>
  <c r="E104"/>
  <c r="E102"/>
  <c r="E100"/>
  <c r="E98"/>
  <c r="E96"/>
  <c r="E112"/>
  <c r="E109"/>
  <c r="E107"/>
  <c r="E105"/>
  <c r="E103"/>
  <c r="E101"/>
  <c r="E99"/>
  <c r="E97"/>
  <c r="Q100"/>
  <c r="G112" l="1"/>
  <c r="J112" s="1"/>
  <c r="G88"/>
  <c r="J88" s="1"/>
  <c r="G107"/>
  <c r="J107" s="1"/>
  <c r="G105"/>
  <c r="J105" s="1"/>
  <c r="E110"/>
  <c r="G104"/>
  <c r="J104" s="1"/>
  <c r="G113"/>
  <c r="J113" s="1"/>
  <c r="G103"/>
  <c r="J103" s="1"/>
  <c r="G102"/>
  <c r="J102" s="1"/>
  <c r="G106"/>
  <c r="J106" s="1"/>
  <c r="G101"/>
  <c r="J101" s="1"/>
  <c r="G109"/>
  <c r="J109" s="1"/>
  <c r="G100"/>
  <c r="J100" s="1"/>
  <c r="G108"/>
  <c r="J108" s="1"/>
  <c r="J83"/>
  <c r="G111"/>
  <c r="J111" s="1"/>
  <c r="G95"/>
  <c r="AK61"/>
  <c r="AK62" s="1"/>
  <c r="AM58"/>
  <c r="AC76"/>
  <c r="AE74"/>
  <c r="AH74" s="1"/>
  <c r="AK74" s="1"/>
  <c r="AM74" s="1"/>
  <c r="AC75"/>
  <c r="AE75" s="1"/>
  <c r="AH75" s="1"/>
  <c r="AK75" s="1"/>
  <c r="AM75" s="1"/>
  <c r="E7" i="11"/>
  <c r="AH70" i="7"/>
  <c r="AK69"/>
  <c r="G99"/>
  <c r="J99" s="1"/>
  <c r="Q101"/>
  <c r="E114"/>
  <c r="J93" l="1"/>
  <c r="J5" i="11" s="1"/>
  <c r="G110" i="7"/>
  <c r="J110" s="1"/>
  <c r="G114"/>
  <c r="J114" s="1"/>
  <c r="AJ96"/>
  <c r="G96"/>
  <c r="J96" s="1"/>
  <c r="AJ97"/>
  <c r="G97"/>
  <c r="J97" s="1"/>
  <c r="AJ100"/>
  <c r="S100"/>
  <c r="V100" s="1"/>
  <c r="AJ98"/>
  <c r="G98"/>
  <c r="J98" s="1"/>
  <c r="AJ99"/>
  <c r="AK70"/>
  <c r="AK71" s="1"/>
  <c r="AM69"/>
  <c r="AJ62"/>
  <c r="F7" i="11"/>
  <c r="AJ70" i="7"/>
  <c r="W56"/>
  <c r="AC79"/>
  <c r="AE76"/>
  <c r="AH76" s="1"/>
  <c r="E115"/>
  <c r="Q102"/>
  <c r="G115" l="1"/>
  <c r="J115" s="1"/>
  <c r="AJ101"/>
  <c r="S101"/>
  <c r="V101" s="1"/>
  <c r="AJ71"/>
  <c r="AC82"/>
  <c r="AE79"/>
  <c r="AH79" s="1"/>
  <c r="AH80" s="1"/>
  <c r="I7" i="11" s="1"/>
  <c r="AH77" i="7"/>
  <c r="AK76"/>
  <c r="Q103"/>
  <c r="E116"/>
  <c r="AC89" l="1"/>
  <c r="AC84"/>
  <c r="AC86"/>
  <c r="AC90"/>
  <c r="AC85"/>
  <c r="AC92"/>
  <c r="AE82"/>
  <c r="AH82" s="1"/>
  <c r="AK82" s="1"/>
  <c r="AC87"/>
  <c r="AC88" s="1"/>
  <c r="AE88" s="1"/>
  <c r="AH88" s="1"/>
  <c r="AK88" s="1"/>
  <c r="AC83"/>
  <c r="AJ102"/>
  <c r="S102"/>
  <c r="V102" s="1"/>
  <c r="G116"/>
  <c r="J116" s="1"/>
  <c r="E117"/>
  <c r="AK77"/>
  <c r="AK78" s="1"/>
  <c r="AM76"/>
  <c r="AE87"/>
  <c r="AH87" s="1"/>
  <c r="AE89"/>
  <c r="AH89" s="1"/>
  <c r="AE86"/>
  <c r="AH86" s="1"/>
  <c r="AE84"/>
  <c r="AH84" s="1"/>
  <c r="AE90"/>
  <c r="AH90" s="1"/>
  <c r="AE85"/>
  <c r="AH85" s="1"/>
  <c r="H7" i="11"/>
  <c r="AJ77" i="7"/>
  <c r="S103"/>
  <c r="V103" s="1"/>
  <c r="Q104"/>
  <c r="G117" l="1"/>
  <c r="J117" s="1"/>
  <c r="E118"/>
  <c r="AJ103"/>
  <c r="AK85"/>
  <c r="AK84"/>
  <c r="AK87"/>
  <c r="AC91"/>
  <c r="AE91" s="1"/>
  <c r="AH91" s="1"/>
  <c r="AE83"/>
  <c r="AH83" s="1"/>
  <c r="AK89"/>
  <c r="AE92"/>
  <c r="AH92" s="1"/>
  <c r="AC95"/>
  <c r="AK90"/>
  <c r="AK86"/>
  <c r="Q105"/>
  <c r="S105" l="1"/>
  <c r="V105" s="1"/>
  <c r="G118"/>
  <c r="J118" s="1"/>
  <c r="E119"/>
  <c r="G119" s="1"/>
  <c r="J119" s="1"/>
  <c r="AJ104"/>
  <c r="S104"/>
  <c r="V104" s="1"/>
  <c r="AH93"/>
  <c r="J7" i="11" s="1"/>
  <c r="AC107" i="7"/>
  <c r="AE107" s="1"/>
  <c r="AH107" s="1"/>
  <c r="AC96"/>
  <c r="AC105"/>
  <c r="AE105" s="1"/>
  <c r="AH105" s="1"/>
  <c r="AC112"/>
  <c r="AE112" s="1"/>
  <c r="AH112" s="1"/>
  <c r="AC114"/>
  <c r="AE114" s="1"/>
  <c r="AH114" s="1"/>
  <c r="AC104"/>
  <c r="AE104" s="1"/>
  <c r="AH104" s="1"/>
  <c r="AC100"/>
  <c r="AE100" s="1"/>
  <c r="AH100" s="1"/>
  <c r="AC98"/>
  <c r="AE98" s="1"/>
  <c r="AH98" s="1"/>
  <c r="AC108"/>
  <c r="AE108" s="1"/>
  <c r="AH108" s="1"/>
  <c r="AC102"/>
  <c r="AE102" s="1"/>
  <c r="AH102" s="1"/>
  <c r="AC113"/>
  <c r="AE113" s="1"/>
  <c r="AH113" s="1"/>
  <c r="AC101"/>
  <c r="AE101" s="1"/>
  <c r="AH101" s="1"/>
  <c r="AC106"/>
  <c r="AE106" s="1"/>
  <c r="AH106" s="1"/>
  <c r="AE95"/>
  <c r="AH95" s="1"/>
  <c r="AC111"/>
  <c r="AE111" s="1"/>
  <c r="AH111" s="1"/>
  <c r="AC99"/>
  <c r="AE99" s="1"/>
  <c r="AH99" s="1"/>
  <c r="AC109"/>
  <c r="AE109" s="1"/>
  <c r="AH109" s="1"/>
  <c r="AC115"/>
  <c r="AE115" s="1"/>
  <c r="AH115" s="1"/>
  <c r="AC103"/>
  <c r="AE103" s="1"/>
  <c r="AH103" s="1"/>
  <c r="AC97"/>
  <c r="AK91"/>
  <c r="AK92"/>
  <c r="AK83"/>
  <c r="AL84" s="1"/>
  <c r="Q106"/>
  <c r="AL85" l="1"/>
  <c r="AM83"/>
  <c r="AL11" s="1"/>
  <c r="E120"/>
  <c r="G120" s="1"/>
  <c r="J120" s="1"/>
  <c r="AC116"/>
  <c r="AE116" s="1"/>
  <c r="AH116" s="1"/>
  <c r="AE96"/>
  <c r="AH96" s="1"/>
  <c r="AK96" s="1"/>
  <c r="AM96" s="1"/>
  <c r="AC117"/>
  <c r="AE117" s="1"/>
  <c r="AH117" s="1"/>
  <c r="AE97"/>
  <c r="AH97" s="1"/>
  <c r="AC110"/>
  <c r="AE110" s="1"/>
  <c r="AH110" s="1"/>
  <c r="AK105"/>
  <c r="AM105" s="1"/>
  <c r="AJ105"/>
  <c r="AK103"/>
  <c r="AM103" s="1"/>
  <c r="AJ93"/>
  <c r="AL93" s="1"/>
  <c r="AK104"/>
  <c r="AM104" s="1"/>
  <c r="AM86"/>
  <c r="AK93"/>
  <c r="AK99"/>
  <c r="AM99" s="1"/>
  <c r="AK101"/>
  <c r="AM101" s="1"/>
  <c r="AK98"/>
  <c r="AM98" s="1"/>
  <c r="AK102"/>
  <c r="AM102" s="1"/>
  <c r="AK100"/>
  <c r="AM100" s="1"/>
  <c r="S106"/>
  <c r="V106" s="1"/>
  <c r="Q107"/>
  <c r="E121" l="1"/>
  <c r="G121" s="1"/>
  <c r="J121" s="1"/>
  <c r="AJ94"/>
  <c r="AK106"/>
  <c r="AM106" s="1"/>
  <c r="AJ106"/>
  <c r="AC118"/>
  <c r="AE118" s="1"/>
  <c r="AH118" s="1"/>
  <c r="AK97"/>
  <c r="Q108"/>
  <c r="E122" l="1"/>
  <c r="G122" s="1"/>
  <c r="J122" s="1"/>
  <c r="AJ107"/>
  <c r="S107"/>
  <c r="V107" s="1"/>
  <c r="AK107" s="1"/>
  <c r="AM107" s="1"/>
  <c r="AM97"/>
  <c r="AC119"/>
  <c r="AE119" s="1"/>
  <c r="AH119" s="1"/>
  <c r="Q109"/>
  <c r="Q110" l="1"/>
  <c r="S109"/>
  <c r="V109" s="1"/>
  <c r="E123"/>
  <c r="G123" s="1"/>
  <c r="J123" s="1"/>
  <c r="AJ108"/>
  <c r="S108"/>
  <c r="V108" s="1"/>
  <c r="AK108" s="1"/>
  <c r="AM108" s="1"/>
  <c r="AC130"/>
  <c r="AE130" s="1"/>
  <c r="AH130" s="1"/>
  <c r="AC120"/>
  <c r="AE120" s="1"/>
  <c r="AH120" s="1"/>
  <c r="S110" l="1"/>
  <c r="V110" s="1"/>
  <c r="AK110" s="1"/>
  <c r="AM110" s="1"/>
  <c r="Q111"/>
  <c r="E124"/>
  <c r="G124" s="1"/>
  <c r="J124" s="1"/>
  <c r="AJ110"/>
  <c r="AK109"/>
  <c r="AM109" s="1"/>
  <c r="AJ109"/>
  <c r="AG134"/>
  <c r="AC121"/>
  <c r="AE121" s="1"/>
  <c r="AH121" s="1"/>
  <c r="S111" l="1"/>
  <c r="V111" s="1"/>
  <c r="AK111" s="1"/>
  <c r="AM111" s="1"/>
  <c r="AJ111"/>
  <c r="Q112"/>
  <c r="E125"/>
  <c r="AO97"/>
  <c r="AO98" s="1"/>
  <c r="AC122"/>
  <c r="AE122" s="1"/>
  <c r="AH122" s="1"/>
  <c r="Q113" l="1"/>
  <c r="AJ112"/>
  <c r="E126"/>
  <c r="G125"/>
  <c r="J125" s="1"/>
  <c r="I134"/>
  <c r="AC123"/>
  <c r="AE123" s="1"/>
  <c r="AH123" s="1"/>
  <c r="S113"/>
  <c r="V113" s="1"/>
  <c r="S112" l="1"/>
  <c r="V112" s="1"/>
  <c r="AK112" s="1"/>
  <c r="AM112" s="1"/>
  <c r="Q114"/>
  <c r="S114" s="1"/>
  <c r="V114" s="1"/>
  <c r="E127"/>
  <c r="G126"/>
  <c r="J126" s="1"/>
  <c r="AC124"/>
  <c r="AE124" s="1"/>
  <c r="AH124" s="1"/>
  <c r="AJ113"/>
  <c r="AK113"/>
  <c r="AM113" s="1"/>
  <c r="Q115" l="1"/>
  <c r="S115" s="1"/>
  <c r="V115" s="1"/>
  <c r="E128"/>
  <c r="G127"/>
  <c r="J127" s="1"/>
  <c r="AC125"/>
  <c r="AE125" s="1"/>
  <c r="AH125" s="1"/>
  <c r="AJ114"/>
  <c r="AK114"/>
  <c r="AM114" s="1"/>
  <c r="Q116" l="1"/>
  <c r="S116" s="1"/>
  <c r="V116" s="1"/>
  <c r="G128"/>
  <c r="J128" s="1"/>
  <c r="E129"/>
  <c r="Q117"/>
  <c r="AC126"/>
  <c r="AJ115"/>
  <c r="AK115"/>
  <c r="AM115" s="1"/>
  <c r="AE126" l="1"/>
  <c r="AH126" s="1"/>
  <c r="AC127"/>
  <c r="E130"/>
  <c r="G130" s="1"/>
  <c r="J130" s="1"/>
  <c r="G129"/>
  <c r="J129" s="1"/>
  <c r="Q118"/>
  <c r="AJ116"/>
  <c r="AE127" l="1"/>
  <c r="AH127" s="1"/>
  <c r="AC128"/>
  <c r="S117"/>
  <c r="AJ117"/>
  <c r="Q119"/>
  <c r="S119" s="1"/>
  <c r="V119" s="1"/>
  <c r="AK119" s="1"/>
  <c r="AM119" s="1"/>
  <c r="AK116"/>
  <c r="AM116" s="1"/>
  <c r="J95"/>
  <c r="J131" s="1"/>
  <c r="K5" i="11" s="1"/>
  <c r="AC129" i="7" l="1"/>
  <c r="AE129" s="1"/>
  <c r="AH129" s="1"/>
  <c r="AE128"/>
  <c r="AH128" s="1"/>
  <c r="V117"/>
  <c r="AK117" s="1"/>
  <c r="AM117" s="1"/>
  <c r="S118"/>
  <c r="AJ118"/>
  <c r="Q120"/>
  <c r="S120" s="1"/>
  <c r="V120" s="1"/>
  <c r="AK120" s="1"/>
  <c r="AM120" s="1"/>
  <c r="AK95"/>
  <c r="AH131" l="1"/>
  <c r="K7" i="11" s="1"/>
  <c r="V118" i="7"/>
  <c r="AK118" s="1"/>
  <c r="AM118" s="1"/>
  <c r="Q121"/>
  <c r="S121" s="1"/>
  <c r="V121" s="1"/>
  <c r="AK121" s="1"/>
  <c r="AM121" s="1"/>
  <c r="AJ119"/>
  <c r="AM95"/>
  <c r="AO118" l="1"/>
  <c r="AO117" s="1"/>
  <c r="Q122"/>
  <c r="S122" s="1"/>
  <c r="V122" s="1"/>
  <c r="AK122" s="1"/>
  <c r="AM122" s="1"/>
  <c r="L7" i="11"/>
  <c r="N7" s="1"/>
  <c r="AH132" i="7"/>
  <c r="AH133" s="1"/>
  <c r="AH134" s="1"/>
  <c r="H79"/>
  <c r="J79" s="1"/>
  <c r="J80" s="1"/>
  <c r="V79"/>
  <c r="V80" s="1"/>
  <c r="Q123" l="1"/>
  <c r="S123" s="1"/>
  <c r="V123" s="1"/>
  <c r="AK123" s="1"/>
  <c r="AM123" s="1"/>
  <c r="AK79"/>
  <c r="AM79" s="1"/>
  <c r="J132"/>
  <c r="J133" s="1"/>
  <c r="J134" s="1"/>
  <c r="I5" i="11"/>
  <c r="I6"/>
  <c r="AJ80" i="7"/>
  <c r="Q124" l="1"/>
  <c r="S124" s="1"/>
  <c r="V124" s="1"/>
  <c r="AK124" s="1"/>
  <c r="AM124" s="1"/>
  <c r="AK80"/>
  <c r="AK81" s="1"/>
  <c r="L5" i="11"/>
  <c r="N5" s="1"/>
  <c r="Q125" i="7" l="1"/>
  <c r="N102"/>
  <c r="B102" s="1"/>
  <c r="N114"/>
  <c r="B114" s="1"/>
  <c r="Q126" l="1"/>
  <c r="S125"/>
  <c r="V125" s="1"/>
  <c r="AK125" s="1"/>
  <c r="AM125" s="1"/>
  <c r="U134"/>
  <c r="Q127" l="1"/>
  <c r="S126"/>
  <c r="V126" s="1"/>
  <c r="AK126" s="1"/>
  <c r="AM126" s="1"/>
  <c r="Q128" l="1"/>
  <c r="S127"/>
  <c r="V127" s="1"/>
  <c r="AK127" s="1"/>
  <c r="AM127" s="1"/>
  <c r="S128" l="1"/>
  <c r="V128" s="1"/>
  <c r="AK128" s="1"/>
  <c r="AM128" s="1"/>
  <c r="Q129"/>
  <c r="S129" l="1"/>
  <c r="V129" s="1"/>
  <c r="Q130"/>
  <c r="S130" s="1"/>
  <c r="V130" s="1"/>
  <c r="AK130" s="1"/>
  <c r="AM130" s="1"/>
  <c r="AK129" l="1"/>
  <c r="V131"/>
  <c r="AM129" l="1"/>
  <c r="AK131"/>
  <c r="K6" i="11"/>
  <c r="L6" s="1"/>
  <c r="N6" s="1"/>
  <c r="N8" s="1"/>
  <c r="N15" s="1"/>
  <c r="AJ131" i="7"/>
  <c r="V132"/>
  <c r="V133" s="1"/>
  <c r="V134" s="1"/>
  <c r="AH136" s="1"/>
  <c r="AH139" s="1"/>
  <c r="AJ132" l="1"/>
</calcChain>
</file>

<file path=xl/sharedStrings.xml><?xml version="1.0" encoding="utf-8"?>
<sst xmlns="http://schemas.openxmlformats.org/spreadsheetml/2006/main" count="541" uniqueCount="229">
  <si>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</si>
  <si>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</si>
  <si>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</si>
  <si>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</si>
  <si>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</si>
  <si>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</si>
  <si>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</si>
  <si>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</si>
  <si>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</si>
  <si>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</si>
  <si>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</si>
  <si>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</si>
  <si>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</si>
  <si>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</si>
  <si>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</si>
  <si>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</si>
  <si>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</si>
  <si>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Проведение текущего ремонта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</si>
  <si>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</si>
  <si>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</si>
  <si>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</si>
  <si>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</si>
  <si>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</si>
  <si>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</si>
  <si>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</si>
  <si>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</si>
  <si>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</si>
  <si>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номеров, ед.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</si>
  <si>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</si>
  <si>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</si>
  <si>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</si>
  <si>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</si>
  <si>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</si>
  <si>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</si>
  <si>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</si>
  <si>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</si>
  <si>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</si>
  <si>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</si>
  <si>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</si>
  <si>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</si>
  <si>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</si>
  <si>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</si>
  <si>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</si>
  <si>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</si>
  <si>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</si>
  <si>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</si>
  <si>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Рабочий по обслуживанию и ремонту зданий</t>
  </si>
  <si>
    <t>сумма в год</t>
  </si>
  <si>
    <t>договор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</si>
  <si>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</si>
  <si>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</si>
  <si>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</si>
  <si>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r>
      <rPr>
        <sz val="9"/>
        <color indexed="10"/>
        <rFont val="Times New Roman"/>
        <family val="1"/>
        <charset val="204"/>
      </rPr>
      <t>414,85руб = 52308руб* 12мес* 1,302(начисления на ФОТ)/ 1970рабочих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</si>
  <si>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</si>
  <si>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</si>
  <si>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</si>
  <si>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</si>
  <si>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</si>
  <si>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</si>
  <si>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</si>
  <si>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</si>
  <si>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</si>
  <si>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</si>
  <si>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</si>
  <si>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</si>
  <si>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</si>
  <si>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</si>
  <si>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</si>
  <si>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</si>
  <si>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</si>
  <si>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</si>
  <si>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5=3/4</t>
  </si>
  <si>
    <t>Норма трудозатрат на оказание единицы государственной услуги (шт.ед.)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</si>
  <si>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</si>
  <si>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</si>
  <si>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</si>
  <si>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</si>
  <si>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</si>
  <si>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Обучение</t>
  </si>
  <si>
    <t>211+213</t>
  </si>
  <si>
    <t>576ч 36 уч.недель</t>
  </si>
  <si>
    <t>часов в год на 1 группу</t>
  </si>
  <si>
    <t>Стоимость 1ч.-часа ресурса, руб</t>
  </si>
  <si>
    <t>Норма шт.единиц</t>
  </si>
  <si>
    <t>медосмотр (пед работники)</t>
  </si>
  <si>
    <t>командировочные расходы педработников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</si>
  <si>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</si>
  <si>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</si>
  <si>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</si>
  <si>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</si>
  <si>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t>
  </si>
  <si>
    <t>Дератизация и дезинфекция</t>
  </si>
  <si>
    <t>Делопроизводитель</t>
  </si>
  <si>
    <t>Медикаменты</t>
  </si>
  <si>
    <t>Демеркуризация отработанных ламп</t>
  </si>
  <si>
    <t>бюджет</t>
  </si>
  <si>
    <t>Налоги, госпошлина</t>
  </si>
  <si>
    <t>пособие по уходу за ребенком до 3-х лет</t>
  </si>
  <si>
    <t>Обслуживание тревожной кнопки</t>
  </si>
  <si>
    <t>Хоз.товары (дезинфицирующие, моющие средства)</t>
  </si>
  <si>
    <t>Воспитатель</t>
  </si>
  <si>
    <t>Музыкальный руководитель</t>
  </si>
  <si>
    <t>6 групп</t>
  </si>
  <si>
    <t>13ст</t>
  </si>
  <si>
    <t>Учитель-логопед</t>
  </si>
  <si>
    <t>Инструктор по физической культуре</t>
  </si>
  <si>
    <t>18-что это</t>
  </si>
  <si>
    <t>дошкольное образование</t>
  </si>
  <si>
    <t>Старший воспитатель</t>
  </si>
  <si>
    <t>Коляски кукольные</t>
  </si>
  <si>
    <t xml:space="preserve">Мячи в ассортименте </t>
  </si>
  <si>
    <t>Набор кукольной посуды</t>
  </si>
  <si>
    <t>Интерактивные развивающие игры</t>
  </si>
  <si>
    <t xml:space="preserve">Конструкторы </t>
  </si>
  <si>
    <t xml:space="preserve">Куклы </t>
  </si>
  <si>
    <t>Настольно-печатные игры, пазлы</t>
  </si>
  <si>
    <t>Мозаика кнопочная</t>
  </si>
  <si>
    <t>Альбом для рисования</t>
  </si>
  <si>
    <t>Краски акварельные</t>
  </si>
  <si>
    <t>Карандаши цветные</t>
  </si>
  <si>
    <t>подписка на периодические издания</t>
  </si>
  <si>
    <t>Гкал</t>
  </si>
  <si>
    <t>чел</t>
  </si>
  <si>
    <t>количество точек доступа, ед</t>
  </si>
  <si>
    <t>Заведующий</t>
  </si>
  <si>
    <t>Заведующий хозяйством</t>
  </si>
  <si>
    <t>Младший воспитатель</t>
  </si>
  <si>
    <t>присмотр и уход</t>
  </si>
  <si>
    <t>Кружка с детским рисунком</t>
  </si>
  <si>
    <t>Графин стеклянный с крышкой</t>
  </si>
  <si>
    <t>Доска разделочная деревянная</t>
  </si>
  <si>
    <t>Ведро эмалированное 10 л</t>
  </si>
  <si>
    <t>Машинист по стирке белья</t>
  </si>
  <si>
    <t>Повар</t>
  </si>
  <si>
    <t>Рабочий кухни</t>
  </si>
  <si>
    <t>Комплектующие к оргтехнике</t>
  </si>
  <si>
    <t>Продукты питания</t>
  </si>
  <si>
    <t>Услуги Центра гигиены и эпидемиологии</t>
  </si>
  <si>
    <t>Командировочные расходы административного персонала</t>
  </si>
  <si>
    <t>Подписка, услуги Семис</t>
  </si>
  <si>
    <t>Проведение испытаний устройств заземления и изоляции электросетей</t>
  </si>
  <si>
    <t>Обслуживание системы наружного видеонаблюдения</t>
  </si>
  <si>
    <t>шт</t>
  </si>
  <si>
    <t>Спецодежда (мягкий инвентарь)</t>
  </si>
  <si>
    <t>Прочие материальные запасы</t>
  </si>
  <si>
    <t>Присмотр и уход</t>
  </si>
  <si>
    <t>Тетрадь общая</t>
  </si>
  <si>
    <t>Ручка шариковая</t>
  </si>
  <si>
    <t>Порошок стиральный автомат детский</t>
  </si>
  <si>
    <t>Туалетная бумага</t>
  </si>
  <si>
    <t xml:space="preserve">Салфетки </t>
  </si>
  <si>
    <t>проверка</t>
  </si>
  <si>
    <t>свод</t>
  </si>
  <si>
    <t>Дошкольное образование 1-3 года</t>
  </si>
  <si>
    <t>Дошкольное образование 3-8 лет</t>
  </si>
  <si>
    <t>Сторож</t>
  </si>
  <si>
    <t>Игрушки</t>
  </si>
  <si>
    <t>Медосмотр младшего обслуживающего и административного персонала</t>
  </si>
  <si>
    <t>Наименование муниципальной услуги</t>
  </si>
  <si>
    <t>Педагог-психолог</t>
  </si>
  <si>
    <t>Машинки</t>
  </si>
  <si>
    <t>Аттестация условий рабочих мест</t>
  </si>
  <si>
    <t>Учебные пособия</t>
  </si>
  <si>
    <t>Чайник нержавеющая сталь</t>
  </si>
  <si>
    <t>Чайник эмалир.3-3,5 л.</t>
  </si>
  <si>
    <t>Половник нерж.сталь 250-300мл.</t>
  </si>
  <si>
    <t>Чашка нержавеющая сталь 2л</t>
  </si>
  <si>
    <t>Тарелка  2 бл. (плоская) диаметр 18 см с детским рисунком</t>
  </si>
  <si>
    <t>Бумажные полотенца уп.х4шт</t>
  </si>
  <si>
    <t>Пакет фасовочный</t>
  </si>
  <si>
    <t>Диспенсер для жидкого мыла</t>
  </si>
  <si>
    <t>Наглядный и раздаточный материал</t>
  </si>
  <si>
    <t>Испытание диэлектрических бот и перчаток</t>
  </si>
  <si>
    <t>контроль качестватекстильных материалов и деревянных конструкций</t>
  </si>
  <si>
    <t>Столовая посуда</t>
  </si>
  <si>
    <t>Расчёт базового норматива затрат на оказание услуги "Реализация основных общеобразовательных программ дошкольного образования"</t>
  </si>
  <si>
    <t>Расчёт базового норматива затрат на оказание услуги "Присмотр и уход"</t>
  </si>
  <si>
    <t xml:space="preserve">Численность </t>
  </si>
  <si>
    <t xml:space="preserve">Расчетный объем финансирования </t>
  </si>
  <si>
    <t>14=13*12</t>
  </si>
  <si>
    <t>ИТОГО:</t>
  </si>
  <si>
    <t xml:space="preserve">                Внебюджет</t>
  </si>
  <si>
    <t>Утвержденный объем финансирования (611)</t>
  </si>
  <si>
    <t>ТКО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</si>
  <si>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</si>
  <si>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Экспертиза огнезащитной обработки строительных конструкций</t>
  </si>
  <si>
    <t>340 мест</t>
  </si>
  <si>
    <t>мест+74080</t>
  </si>
  <si>
    <t>по нормативам</t>
  </si>
  <si>
    <t>предприн</t>
  </si>
  <si>
    <t>Реализация основных общеобразовательных программ дошкольного образования (3-7 лет)</t>
  </si>
  <si>
    <t>Реализация основных общеобразовательных программ дошкольного образования (1-3 года)</t>
  </si>
  <si>
    <t>З/П</t>
  </si>
  <si>
    <t>КОМ-КИ</t>
  </si>
  <si>
    <t>ПРОЧИЕ ВЫПЛАТЫ</t>
  </si>
  <si>
    <t>СВЯЗЬ</t>
  </si>
  <si>
    <t>ТРАНСПОРТ</t>
  </si>
  <si>
    <t>КОМ.УСЛУГИ</t>
  </si>
  <si>
    <t>СОД.ИМ-ВА</t>
  </si>
  <si>
    <t>ПОЧИЕ УСЛУГИ</t>
  </si>
  <si>
    <t>ПОЧИЕ РАСХОДЫ</t>
  </si>
  <si>
    <t>ОСНОВНЫЕ РАСХОДЫ</t>
  </si>
  <si>
    <t>МАТ.ЗАПАСЫ</t>
  </si>
  <si>
    <t>ТЕК.РЕМОНТЫ</t>
  </si>
  <si>
    <t>СВОД</t>
  </si>
  <si>
    <t>Количество получателей</t>
  </si>
  <si>
    <t>123 чел.</t>
  </si>
  <si>
    <t>КОЛ-ВО</t>
  </si>
  <si>
    <t>АУП</t>
  </si>
  <si>
    <t>ПЕДЫ</t>
  </si>
  <si>
    <t>226,212,222 АУП</t>
  </si>
  <si>
    <t>объем</t>
  </si>
  <si>
    <t>225 мест</t>
  </si>
  <si>
    <t>Техническое обслуживание и регламентно-профилактический ремонт систем охранно-пожарной сигнализации</t>
  </si>
  <si>
    <t>74080+188030</t>
  </si>
  <si>
    <t>74080+188030 по 221</t>
  </si>
  <si>
    <t>сверка с бюджетом</t>
  </si>
  <si>
    <t>род.плата</t>
  </si>
  <si>
    <t>Замена тех.паспрта</t>
  </si>
  <si>
    <t>Канцеллярские товары</t>
  </si>
  <si>
    <t>\\</t>
  </si>
  <si>
    <t>Строительные материалы</t>
  </si>
  <si>
    <t>Уборщик служебных помещений</t>
  </si>
  <si>
    <t>в питание</t>
  </si>
  <si>
    <t>Учитель-дефектолог</t>
  </si>
  <si>
    <t>Кастелянша</t>
  </si>
  <si>
    <t>Монтаж теплоузла</t>
  </si>
  <si>
    <r>
      <t xml:space="preserve">Свод нормативов затрат на выполнение  муниципального задания МБДОУ № 5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indexed="8"/>
        <rFont val="Times New Roman"/>
        <family val="1"/>
        <charset val="204"/>
      </rPr>
      <t>(к изменениям бюджетной росписи на 2021 год)</t>
    </r>
  </si>
  <si>
    <t>Муниципальное бюджетное дошкольное образовательное учреждение "Северо-Енисейский детский сад № 5"</t>
  </si>
</sst>
</file>

<file path=xl/styles.xml><?xml version="1.0" encoding="utf-8"?>
<styleSheet xmlns="http://schemas.openxmlformats.org/spreadsheetml/2006/main">
  <numFmts count="17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_-* #,##0.000_р_._-;\-* #,##0.000_р_._-;_-* &quot;-&quot;???_р_._-;_-@_-"/>
    <numFmt numFmtId="169" formatCode="0.0000000"/>
    <numFmt numFmtId="170" formatCode="0.000000"/>
    <numFmt numFmtId="171" formatCode="_-* #,##0.0000_р_._-;\-* #,##0.0000_р_._-;_-* &quot;-&quot;??_р_._-;_-@_-"/>
    <numFmt numFmtId="172" formatCode="#,##0.000000"/>
    <numFmt numFmtId="173" formatCode="_-* #,##0.00000000000_р_._-;\-* #,##0.00000000000_р_._-;_-* &quot;-&quot;??_р_._-;_-@_-"/>
    <numFmt numFmtId="174" formatCode="#,##0.000"/>
    <numFmt numFmtId="175" formatCode="#,##0.00000000"/>
    <numFmt numFmtId="176" formatCode="#,##0.000000000"/>
    <numFmt numFmtId="177" formatCode="#,##0.00000000000"/>
    <numFmt numFmtId="178" formatCode="#,##0.00_ ;\-#,##0.00\ "/>
    <numFmt numFmtId="179" formatCode="#,##0.000000000000"/>
  </numFmts>
  <fonts count="5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40"/>
      <name val="Times New Roman"/>
      <family val="1"/>
      <charset val="204"/>
    </font>
    <font>
      <b/>
      <sz val="8"/>
      <color indexed="40"/>
      <name val="Times New Roman"/>
      <family val="1"/>
      <charset val="204"/>
    </font>
    <font>
      <b/>
      <i/>
      <sz val="11"/>
      <color indexed="40"/>
      <name val="Times New Roman"/>
      <family val="1"/>
      <charset val="204"/>
    </font>
    <font>
      <sz val="9"/>
      <color indexed="40"/>
      <name val="Times New Roman"/>
      <family val="1"/>
      <charset val="204"/>
    </font>
    <font>
      <b/>
      <sz val="10"/>
      <color indexed="40"/>
      <name val="Times New Roman"/>
      <family val="1"/>
      <charset val="204"/>
    </font>
    <font>
      <b/>
      <i/>
      <sz val="10"/>
      <color indexed="40"/>
      <name val="Times New Roman"/>
      <family val="1"/>
      <charset val="204"/>
    </font>
    <font>
      <sz val="10"/>
      <color indexed="4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7" fillId="0" borderId="0"/>
    <xf numFmtId="0" fontId="4" fillId="0" borderId="0"/>
    <xf numFmtId="0" fontId="39" fillId="0" borderId="0"/>
    <xf numFmtId="164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</cellStyleXfs>
  <cellXfs count="442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17" fillId="0" borderId="0" xfId="0" applyFont="1"/>
    <xf numFmtId="0" fontId="8" fillId="2" borderId="0" xfId="0" applyFont="1" applyFill="1"/>
    <xf numFmtId="164" fontId="8" fillId="0" borderId="0" xfId="4" applyFont="1"/>
    <xf numFmtId="164" fontId="1" fillId="0" borderId="0" xfId="4" applyFont="1"/>
    <xf numFmtId="0" fontId="13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0" applyNumberFormat="1" applyFont="1"/>
    <xf numFmtId="168" fontId="8" fillId="0" borderId="0" xfId="0" applyNumberFormat="1" applyFont="1"/>
    <xf numFmtId="164" fontId="1" fillId="0" borderId="0" xfId="0" applyNumberFormat="1" applyFont="1"/>
    <xf numFmtId="0" fontId="20" fillId="0" borderId="0" xfId="0" applyFont="1"/>
    <xf numFmtId="0" fontId="20" fillId="2" borderId="0" xfId="0" applyFont="1" applyFill="1"/>
    <xf numFmtId="0" fontId="21" fillId="5" borderId="0" xfId="0" applyFont="1" applyFill="1"/>
    <xf numFmtId="2" fontId="10" fillId="0" borderId="0" xfId="0" applyNumberFormat="1" applyFont="1" applyFill="1" applyBorder="1"/>
    <xf numFmtId="0" fontId="14" fillId="0" borderId="0" xfId="0" applyFont="1" applyFill="1" applyBorder="1" applyAlignment="1">
      <alignment vertical="center" wrapText="1"/>
    </xf>
    <xf numFmtId="164" fontId="8" fillId="0" borderId="0" xfId="4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165" fontId="7" fillId="0" borderId="1" xfId="0" applyNumberFormat="1" applyFont="1" applyFill="1" applyBorder="1"/>
    <xf numFmtId="0" fontId="7" fillId="0" borderId="1" xfId="0" applyFont="1" applyFill="1" applyBorder="1"/>
    <xf numFmtId="0" fontId="8" fillId="2" borderId="1" xfId="0" applyFont="1" applyFill="1" applyBorder="1"/>
    <xf numFmtId="0" fontId="8" fillId="0" borderId="1" xfId="0" applyFont="1" applyFill="1" applyBorder="1"/>
    <xf numFmtId="0" fontId="11" fillId="0" borderId="0" xfId="0" applyFont="1" applyFill="1" applyBorder="1" applyAlignment="1">
      <alignment horizontal="right"/>
    </xf>
    <xf numFmtId="0" fontId="8" fillId="0" borderId="0" xfId="0" applyFont="1" applyFill="1"/>
    <xf numFmtId="0" fontId="2" fillId="0" borderId="1" xfId="0" applyFont="1" applyFill="1" applyBorder="1" applyAlignment="1">
      <alignment horizontal="right" vertical="center" wrapText="1"/>
    </xf>
    <xf numFmtId="2" fontId="8" fillId="0" borderId="1" xfId="0" applyNumberFormat="1" applyFont="1" applyFill="1" applyBorder="1"/>
    <xf numFmtId="0" fontId="11" fillId="0" borderId="7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7" fillId="0" borderId="0" xfId="0" applyFont="1" applyBorder="1"/>
    <xf numFmtId="0" fontId="20" fillId="0" borderId="0" xfId="0" applyFont="1" applyFill="1"/>
    <xf numFmtId="164" fontId="21" fillId="0" borderId="1" xfId="4" applyFont="1" applyBorder="1"/>
    <xf numFmtId="170" fontId="8" fillId="0" borderId="1" xfId="0" applyNumberFormat="1" applyFont="1" applyFill="1" applyBorder="1"/>
    <xf numFmtId="167" fontId="8" fillId="0" borderId="1" xfId="0" applyNumberFormat="1" applyFont="1" applyFill="1" applyBorder="1"/>
    <xf numFmtId="0" fontId="35" fillId="0" borderId="0" xfId="0" applyFont="1"/>
    <xf numFmtId="166" fontId="7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164" fontId="6" fillId="2" borderId="1" xfId="5" applyFont="1" applyFill="1" applyBorder="1" applyAlignment="1">
      <alignment horizontal="center" wrapText="1"/>
    </xf>
    <xf numFmtId="164" fontId="6" fillId="0" borderId="1" xfId="5" applyFont="1" applyBorder="1" applyAlignment="1">
      <alignment horizontal="center"/>
    </xf>
    <xf numFmtId="164" fontId="6" fillId="0" borderId="1" xfId="5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26" fillId="0" borderId="0" xfId="0" applyFont="1" applyFill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wrapText="1"/>
    </xf>
    <xf numFmtId="0" fontId="32" fillId="0" borderId="0" xfId="0" applyFont="1" applyFill="1" applyBorder="1"/>
    <xf numFmtId="0" fontId="7" fillId="2" borderId="6" xfId="0" applyFont="1" applyFill="1" applyBorder="1" applyAlignment="1">
      <alignment horizontal="center"/>
    </xf>
    <xf numFmtId="0" fontId="14" fillId="0" borderId="23" xfId="0" applyFont="1" applyBorder="1" applyAlignment="1">
      <alignment vertical="center" wrapText="1"/>
    </xf>
    <xf numFmtId="0" fontId="11" fillId="0" borderId="16" xfId="0" applyFont="1" applyFill="1" applyBorder="1" applyAlignment="1">
      <alignment horizontal="right"/>
    </xf>
    <xf numFmtId="0" fontId="14" fillId="0" borderId="1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7" fillId="0" borderId="0" xfId="0" applyFont="1" applyFill="1" applyBorder="1"/>
    <xf numFmtId="2" fontId="11" fillId="3" borderId="5" xfId="0" applyNumberFormat="1" applyFont="1" applyFill="1" applyBorder="1"/>
    <xf numFmtId="169" fontId="8" fillId="0" borderId="1" xfId="0" applyNumberFormat="1" applyFont="1" applyFill="1" applyBorder="1"/>
    <xf numFmtId="167" fontId="2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3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9" fillId="8" borderId="35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horizontal="center" vertical="center" wrapText="1"/>
    </xf>
    <xf numFmtId="0" fontId="9" fillId="8" borderId="23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justify" vertical="top" wrapText="1"/>
    </xf>
    <xf numFmtId="0" fontId="7" fillId="0" borderId="6" xfId="0" applyFont="1" applyBorder="1" applyAlignment="1">
      <alignment horizontal="center" wrapText="1"/>
    </xf>
    <xf numFmtId="0" fontId="7" fillId="7" borderId="1" xfId="0" applyFont="1" applyFill="1" applyBorder="1"/>
    <xf numFmtId="0" fontId="7" fillId="7" borderId="1" xfId="0" applyFont="1" applyFill="1" applyBorder="1" applyAlignment="1">
      <alignment wrapText="1"/>
    </xf>
    <xf numFmtId="0" fontId="25" fillId="7" borderId="9" xfId="2" applyFont="1" applyFill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6" fillId="0" borderId="15" xfId="1" applyFont="1" applyFill="1" applyBorder="1" applyAlignment="1">
      <alignment horizontal="right"/>
    </xf>
    <xf numFmtId="0" fontId="6" fillId="7" borderId="1" xfId="1" applyFont="1" applyFill="1" applyBorder="1" applyAlignment="1">
      <alignment horizontal="left"/>
    </xf>
    <xf numFmtId="0" fontId="6" fillId="7" borderId="1" xfId="1" applyFont="1" applyFill="1" applyBorder="1" applyAlignment="1">
      <alignment horizontal="left" wrapText="1"/>
    </xf>
    <xf numFmtId="0" fontId="2" fillId="8" borderId="23" xfId="0" applyFont="1" applyFill="1" applyBorder="1" applyAlignment="1">
      <alignment horizontal="center" vertical="center" wrapText="1"/>
    </xf>
    <xf numFmtId="0" fontId="6" fillId="7" borderId="9" xfId="2" applyFont="1" applyFill="1" applyBorder="1" applyAlignment="1" applyProtection="1">
      <alignment horizontal="left" vertical="center" wrapText="1"/>
      <protection locked="0"/>
    </xf>
    <xf numFmtId="0" fontId="6" fillId="7" borderId="10" xfId="2" applyFont="1" applyFill="1" applyBorder="1" applyAlignment="1" applyProtection="1">
      <alignment horizontal="left" vertical="center" wrapText="1"/>
      <protection locked="0"/>
    </xf>
    <xf numFmtId="0" fontId="42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Fill="1"/>
    <xf numFmtId="0" fontId="42" fillId="0" borderId="0" xfId="0" applyFont="1" applyFill="1" applyBorder="1"/>
    <xf numFmtId="0" fontId="42" fillId="2" borderId="0" xfId="0" applyFont="1" applyFill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6" fillId="0" borderId="0" xfId="4" applyFont="1" applyAlignment="1">
      <alignment horizontal="right"/>
    </xf>
    <xf numFmtId="164" fontId="47" fillId="0" borderId="0" xfId="4" applyFont="1" applyAlignment="1">
      <alignment horizontal="left"/>
    </xf>
    <xf numFmtId="164" fontId="47" fillId="0" borderId="0" xfId="4" applyFont="1" applyAlignment="1">
      <alignment horizontal="left" wrapText="1"/>
    </xf>
    <xf numFmtId="0" fontId="7" fillId="9" borderId="1" xfId="0" applyFont="1" applyFill="1" applyBorder="1"/>
    <xf numFmtId="43" fontId="1" fillId="0" borderId="0" xfId="0" applyNumberFormat="1" applyFont="1"/>
    <xf numFmtId="0" fontId="5" fillId="9" borderId="0" xfId="0" applyFont="1" applyFill="1"/>
    <xf numFmtId="43" fontId="14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Alignment="1">
      <alignment horizontal="center"/>
    </xf>
    <xf numFmtId="4" fontId="43" fillId="0" borderId="0" xfId="0" applyNumberFormat="1" applyFont="1" applyAlignment="1">
      <alignment horizontal="center"/>
    </xf>
    <xf numFmtId="4" fontId="33" fillId="0" borderId="0" xfId="0" applyNumberFormat="1" applyFont="1" applyFill="1" applyAlignment="1">
      <alignment horizontal="center"/>
    </xf>
    <xf numFmtId="4" fontId="34" fillId="2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/>
    </xf>
    <xf numFmtId="4" fontId="33" fillId="0" borderId="0" xfId="4" applyNumberFormat="1" applyFont="1" applyBorder="1" applyAlignment="1">
      <alignment horizontal="center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Border="1" applyAlignment="1">
      <alignment horizontal="center"/>
    </xf>
    <xf numFmtId="4" fontId="34" fillId="4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 wrapText="1"/>
    </xf>
    <xf numFmtId="4" fontId="44" fillId="6" borderId="0" xfId="4" applyNumberFormat="1" applyFont="1" applyFill="1" applyBorder="1" applyAlignment="1">
      <alignment horizontal="center" vertical="center" wrapText="1"/>
    </xf>
    <xf numFmtId="4" fontId="10" fillId="3" borderId="1" xfId="4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 wrapText="1"/>
    </xf>
    <xf numFmtId="4" fontId="8" fillId="0" borderId="0" xfId="0" applyNumberFormat="1" applyFont="1" applyBorder="1"/>
    <xf numFmtId="4" fontId="33" fillId="11" borderId="0" xfId="0" applyNumberFormat="1" applyFont="1" applyFill="1" applyBorder="1" applyAlignment="1">
      <alignment horizontal="center" vertical="center" wrapText="1"/>
    </xf>
    <xf numFmtId="4" fontId="33" fillId="11" borderId="0" xfId="4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" fontId="11" fillId="0" borderId="0" xfId="0" applyNumberFormat="1" applyFont="1" applyBorder="1" applyAlignment="1">
      <alignment horizontal="left" wrapText="1"/>
    </xf>
    <xf numFmtId="172" fontId="11" fillId="0" borderId="0" xfId="0" applyNumberFormat="1" applyFont="1" applyBorder="1" applyAlignment="1">
      <alignment horizontal="left" wrapText="1"/>
    </xf>
    <xf numFmtId="4" fontId="33" fillId="0" borderId="0" xfId="0" applyNumberFormat="1" applyFont="1" applyBorder="1"/>
    <xf numFmtId="4" fontId="8" fillId="0" borderId="0" xfId="0" applyNumberFormat="1" applyFont="1"/>
    <xf numFmtId="0" fontId="2" fillId="7" borderId="1" xfId="0" applyFont="1" applyFill="1" applyBorder="1"/>
    <xf numFmtId="4" fontId="2" fillId="0" borderId="1" xfId="0" applyNumberFormat="1" applyFont="1" applyFill="1" applyBorder="1" applyAlignment="1">
      <alignment wrapText="1"/>
    </xf>
    <xf numFmtId="4" fontId="33" fillId="11" borderId="0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wrapText="1"/>
    </xf>
    <xf numFmtId="0" fontId="21" fillId="0" borderId="0" xfId="0" applyFont="1"/>
    <xf numFmtId="4" fontId="33" fillId="13" borderId="0" xfId="4" applyNumberFormat="1" applyFont="1" applyFill="1" applyBorder="1" applyAlignment="1">
      <alignment horizontal="center" vertical="center" wrapText="1"/>
    </xf>
    <xf numFmtId="4" fontId="40" fillId="13" borderId="0" xfId="4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/>
    <xf numFmtId="4" fontId="7" fillId="0" borderId="0" xfId="0" applyNumberFormat="1" applyFont="1"/>
    <xf numFmtId="2" fontId="5" fillId="0" borderId="0" xfId="0" applyNumberFormat="1" applyFont="1"/>
    <xf numFmtId="16" fontId="2" fillId="7" borderId="1" xfId="0" applyNumberFormat="1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left" wrapText="1"/>
    </xf>
    <xf numFmtId="171" fontId="12" fillId="0" borderId="0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/>
    </xf>
    <xf numFmtId="170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2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43" fontId="26" fillId="0" borderId="0" xfId="0" applyNumberFormat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4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21" fillId="0" borderId="0" xfId="0" applyFont="1" applyAlignment="1">
      <alignment horizontal="center"/>
    </xf>
    <xf numFmtId="177" fontId="2" fillId="0" borderId="0" xfId="4" applyNumberFormat="1" applyFont="1" applyBorder="1" applyAlignment="1">
      <alignment vertical="center" wrapText="1"/>
    </xf>
    <xf numFmtId="3" fontId="34" fillId="2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0" fontId="8" fillId="9" borderId="0" xfId="0" applyFont="1" applyFill="1" applyBorder="1"/>
    <xf numFmtId="164" fontId="8" fillId="9" borderId="0" xfId="0" applyNumberFormat="1" applyFont="1" applyFill="1" applyBorder="1"/>
    <xf numFmtId="49" fontId="21" fillId="0" borderId="0" xfId="0" applyNumberFormat="1" applyFont="1" applyFill="1" applyBorder="1"/>
    <xf numFmtId="49" fontId="8" fillId="0" borderId="0" xfId="0" applyNumberFormat="1" applyFont="1" applyFill="1" applyBorder="1"/>
    <xf numFmtId="168" fontId="17" fillId="0" borderId="0" xfId="0" applyNumberFormat="1" applyFont="1" applyFill="1" applyBorder="1"/>
    <xf numFmtId="164" fontId="17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vertical="top" wrapText="1"/>
    </xf>
    <xf numFmtId="43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top" wrapText="1"/>
    </xf>
    <xf numFmtId="4" fontId="33" fillId="0" borderId="0" xfId="4" applyNumberFormat="1" applyFont="1" applyFill="1" applyBorder="1" applyAlignment="1">
      <alignment horizontal="center" vertical="top" wrapText="1"/>
    </xf>
    <xf numFmtId="0" fontId="21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17" fillId="0" borderId="0" xfId="0" applyFont="1" applyFill="1" applyBorder="1"/>
    <xf numFmtId="0" fontId="8" fillId="7" borderId="1" xfId="0" applyFont="1" applyFill="1" applyBorder="1"/>
    <xf numFmtId="2" fontId="8" fillId="0" borderId="0" xfId="0" applyNumberFormat="1" applyFont="1" applyBorder="1"/>
    <xf numFmtId="2" fontId="8" fillId="0" borderId="0" xfId="0" applyNumberFormat="1" applyFont="1" applyFill="1" applyBorder="1"/>
    <xf numFmtId="164" fontId="23" fillId="0" borderId="0" xfId="4" applyFont="1" applyFill="1" applyBorder="1"/>
    <xf numFmtId="4" fontId="23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4" fontId="33" fillId="0" borderId="0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/>
    </xf>
    <xf numFmtId="167" fontId="7" fillId="0" borderId="0" xfId="0" applyNumberFormat="1" applyFont="1" applyBorder="1"/>
    <xf numFmtId="2" fontId="11" fillId="0" borderId="0" xfId="4" applyNumberFormat="1" applyFont="1" applyFill="1" applyBorder="1" applyAlignment="1"/>
    <xf numFmtId="2" fontId="21" fillId="0" borderId="0" xfId="4" applyNumberFormat="1" applyFont="1" applyFill="1" applyBorder="1"/>
    <xf numFmtId="2" fontId="8" fillId="0" borderId="0" xfId="4" applyNumberFormat="1" applyFont="1" applyFill="1" applyBorder="1"/>
    <xf numFmtId="175" fontId="8" fillId="0" borderId="0" xfId="0" applyNumberFormat="1" applyFont="1"/>
    <xf numFmtId="176" fontId="8" fillId="0" borderId="0" xfId="0" applyNumberFormat="1" applyFont="1"/>
    <xf numFmtId="4" fontId="33" fillId="14" borderId="0" xfId="0" applyNumberFormat="1" applyFont="1" applyFill="1" applyBorder="1" applyAlignment="1">
      <alignment horizontal="center" vertical="center" wrapText="1"/>
    </xf>
    <xf numFmtId="4" fontId="33" fillId="14" borderId="0" xfId="0" applyNumberFormat="1" applyFont="1" applyFill="1" applyBorder="1" applyAlignment="1">
      <alignment horizontal="right" vertical="center" wrapText="1"/>
    </xf>
    <xf numFmtId="4" fontId="33" fillId="14" borderId="0" xfId="0" applyNumberFormat="1" applyFont="1" applyFill="1" applyBorder="1"/>
    <xf numFmtId="2" fontId="11" fillId="0" borderId="0" xfId="0" applyNumberFormat="1" applyFont="1" applyFill="1" applyBorder="1"/>
    <xf numFmtId="0" fontId="20" fillId="0" borderId="0" xfId="0" applyFont="1" applyFill="1" applyBorder="1"/>
    <xf numFmtId="2" fontId="20" fillId="0" borderId="0" xfId="0" applyNumberFormat="1" applyFont="1" applyFill="1" applyBorder="1"/>
    <xf numFmtId="4" fontId="33" fillId="0" borderId="0" xfId="0" applyNumberFormat="1" applyFont="1" applyBorder="1" applyAlignment="1">
      <alignment vertical="center"/>
    </xf>
    <xf numFmtId="0" fontId="7" fillId="7" borderId="1" xfId="0" applyFont="1" applyFill="1" applyBorder="1" applyAlignment="1">
      <alignment vertical="top" wrapText="1"/>
    </xf>
    <xf numFmtId="0" fontId="10" fillId="0" borderId="0" xfId="0" applyFont="1" applyFill="1" applyBorder="1"/>
    <xf numFmtId="4" fontId="8" fillId="14" borderId="0" xfId="0" applyNumberFormat="1" applyFont="1" applyFill="1"/>
    <xf numFmtId="164" fontId="22" fillId="0" borderId="0" xfId="4" applyFont="1" applyBorder="1"/>
    <xf numFmtId="174" fontId="8" fillId="0" borderId="0" xfId="0" applyNumberFormat="1" applyFont="1"/>
    <xf numFmtId="177" fontId="8" fillId="0" borderId="0" xfId="0" applyNumberFormat="1" applyFont="1"/>
    <xf numFmtId="4" fontId="25" fillId="14" borderId="0" xfId="0" applyNumberFormat="1" applyFont="1" applyFill="1"/>
    <xf numFmtId="164" fontId="11" fillId="0" borderId="0" xfId="4" applyFont="1" applyFill="1" applyBorder="1"/>
    <xf numFmtId="164" fontId="22" fillId="0" borderId="0" xfId="0" applyNumberFormat="1" applyFont="1" applyFill="1" applyBorder="1"/>
    <xf numFmtId="4" fontId="5" fillId="0" borderId="0" xfId="0" applyNumberFormat="1" applyFont="1"/>
    <xf numFmtId="0" fontId="5" fillId="0" borderId="0" xfId="0" applyFont="1" applyBorder="1"/>
    <xf numFmtId="2" fontId="11" fillId="9" borderId="0" xfId="0" applyNumberFormat="1" applyFont="1" applyFill="1" applyBorder="1"/>
    <xf numFmtId="2" fontId="10" fillId="9" borderId="0" xfId="0" applyNumberFormat="1" applyFont="1" applyFill="1" applyBorder="1"/>
    <xf numFmtId="0" fontId="24" fillId="9" borderId="0" xfId="0" applyFont="1" applyFill="1" applyBorder="1" applyAlignment="1"/>
    <xf numFmtId="4" fontId="7" fillId="0" borderId="1" xfId="0" applyNumberFormat="1" applyFont="1" applyFill="1" applyBorder="1"/>
    <xf numFmtId="174" fontId="42" fillId="0" borderId="0" xfId="0" applyNumberFormat="1" applyFont="1"/>
    <xf numFmtId="174" fontId="13" fillId="8" borderId="19" xfId="0" applyNumberFormat="1" applyFont="1" applyFill="1" applyBorder="1" applyAlignment="1">
      <alignment horizontal="center" vertical="center" wrapText="1"/>
    </xf>
    <xf numFmtId="174" fontId="13" fillId="8" borderId="1" xfId="0" applyNumberFormat="1" applyFont="1" applyFill="1" applyBorder="1" applyAlignment="1">
      <alignment horizontal="center" vertical="center" wrapText="1"/>
    </xf>
    <xf numFmtId="174" fontId="8" fillId="7" borderId="1" xfId="0" applyNumberFormat="1" applyFont="1" applyFill="1" applyBorder="1"/>
    <xf numFmtId="174" fontId="10" fillId="7" borderId="1" xfId="0" applyNumberFormat="1" applyFont="1" applyFill="1" applyBorder="1"/>
    <xf numFmtId="174" fontId="8" fillId="7" borderId="1" xfId="0" applyNumberFormat="1" applyFont="1" applyFill="1" applyBorder="1" applyAlignment="1">
      <alignment vertical="top"/>
    </xf>
    <xf numFmtId="174" fontId="10" fillId="7" borderId="5" xfId="0" applyNumberFormat="1" applyFont="1" applyFill="1" applyBorder="1"/>
    <xf numFmtId="174" fontId="9" fillId="8" borderId="1" xfId="0" applyNumberFormat="1" applyFont="1" applyFill="1" applyBorder="1" applyAlignment="1">
      <alignment horizontal="center" vertical="center" wrapText="1"/>
    </xf>
    <xf numFmtId="174" fontId="7" fillId="8" borderId="1" xfId="0" applyNumberFormat="1" applyFont="1" applyFill="1" applyBorder="1" applyAlignment="1">
      <alignment horizontal="center" vertical="center" wrapText="1"/>
    </xf>
    <xf numFmtId="174" fontId="7" fillId="7" borderId="1" xfId="0" applyNumberFormat="1" applyFont="1" applyFill="1" applyBorder="1"/>
    <xf numFmtId="174" fontId="11" fillId="7" borderId="1" xfId="0" applyNumberFormat="1" applyFont="1" applyFill="1" applyBorder="1" applyAlignment="1"/>
    <xf numFmtId="174" fontId="11" fillId="7" borderId="1" xfId="0" applyNumberFormat="1" applyFont="1" applyFill="1" applyBorder="1"/>
    <xf numFmtId="174" fontId="10" fillId="7" borderId="32" xfId="0" applyNumberFormat="1" applyFont="1" applyFill="1" applyBorder="1"/>
    <xf numFmtId="174" fontId="8" fillId="0" borderId="0" xfId="4" applyNumberFormat="1" applyFont="1"/>
    <xf numFmtId="174" fontId="8" fillId="7" borderId="3" xfId="0" applyNumberFormat="1" applyFont="1" applyFill="1" applyBorder="1"/>
    <xf numFmtId="174" fontId="10" fillId="0" borderId="0" xfId="0" applyNumberFormat="1" applyFont="1" applyFill="1" applyBorder="1"/>
    <xf numFmtId="174" fontId="10" fillId="0" borderId="1" xfId="0" applyNumberFormat="1" applyFont="1" applyFill="1" applyBorder="1"/>
    <xf numFmtId="174" fontId="8" fillId="0" borderId="0" xfId="0" applyNumberFormat="1" applyFont="1" applyFill="1"/>
    <xf numFmtId="174" fontId="8" fillId="6" borderId="0" xfId="0" applyNumberFormat="1" applyFont="1" applyFill="1"/>
    <xf numFmtId="174" fontId="8" fillId="14" borderId="1" xfId="4" applyNumberFormat="1" applyFont="1" applyFill="1" applyBorder="1"/>
    <xf numFmtId="174" fontId="46" fillId="14" borderId="0" xfId="4" applyNumberFormat="1" applyFont="1" applyFill="1" applyAlignment="1">
      <alignment horizontal="right"/>
    </xf>
    <xf numFmtId="174" fontId="8" fillId="13" borderId="0" xfId="0" applyNumberFormat="1" applyFont="1" applyFill="1"/>
    <xf numFmtId="4" fontId="33" fillId="0" borderId="0" xfId="0" applyNumberFormat="1" applyFont="1"/>
    <xf numFmtId="4" fontId="43" fillId="0" borderId="0" xfId="0" applyNumberFormat="1" applyFont="1"/>
    <xf numFmtId="4" fontId="33" fillId="0" borderId="0" xfId="0" applyNumberFormat="1" applyFont="1" applyFill="1"/>
    <xf numFmtId="4" fontId="23" fillId="0" borderId="0" xfId="0" applyNumberFormat="1" applyFont="1" applyFill="1" applyBorder="1" applyAlignment="1">
      <alignment horizontal="left"/>
    </xf>
    <xf numFmtId="4" fontId="44" fillId="0" borderId="0" xfId="4" applyNumberFormat="1" applyFont="1" applyBorder="1" applyAlignment="1">
      <alignment vertical="center" wrapText="1"/>
    </xf>
    <xf numFmtId="4" fontId="33" fillId="0" borderId="0" xfId="0" applyNumberFormat="1" applyFont="1" applyBorder="1" applyAlignment="1">
      <alignment vertical="center" wrapText="1"/>
    </xf>
    <xf numFmtId="4" fontId="33" fillId="14" borderId="0" xfId="4" applyNumberFormat="1" applyFont="1" applyFill="1" applyBorder="1" applyAlignment="1">
      <alignment vertical="center" wrapText="1"/>
    </xf>
    <xf numFmtId="4" fontId="23" fillId="0" borderId="0" xfId="0" applyNumberFormat="1" applyFont="1" applyBorder="1" applyAlignment="1">
      <alignment horizontal="left" wrapText="1"/>
    </xf>
    <xf numFmtId="4" fontId="23" fillId="0" borderId="0" xfId="4" applyNumberFormat="1" applyFont="1" applyFill="1" applyBorder="1" applyAlignment="1">
      <alignment horizontal="left" wrapText="1"/>
    </xf>
    <xf numFmtId="4" fontId="21" fillId="0" borderId="0" xfId="0" applyNumberFormat="1" applyFont="1"/>
    <xf numFmtId="4" fontId="9" fillId="6" borderId="1" xfId="0" applyNumberFormat="1" applyFont="1" applyFill="1" applyBorder="1" applyAlignment="1">
      <alignment horizontal="center"/>
    </xf>
    <xf numFmtId="4" fontId="2" fillId="9" borderId="1" xfId="0" applyNumberFormat="1" applyFont="1" applyFill="1" applyBorder="1" applyAlignment="1">
      <alignment horizontal="center"/>
    </xf>
    <xf numFmtId="4" fontId="9" fillId="9" borderId="1" xfId="4" applyNumberFormat="1" applyFont="1" applyFill="1" applyBorder="1" applyAlignment="1">
      <alignment horizontal="center"/>
    </xf>
    <xf numFmtId="4" fontId="2" fillId="0" borderId="1" xfId="0" applyNumberFormat="1" applyFont="1" applyBorder="1"/>
    <xf numFmtId="4" fontId="45" fillId="0" borderId="1" xfId="4" applyNumberFormat="1" applyFont="1" applyBorder="1"/>
    <xf numFmtId="0" fontId="7" fillId="6" borderId="0" xfId="0" applyFont="1" applyFill="1" applyBorder="1"/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6" fontId="7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74" fontId="7" fillId="7" borderId="1" xfId="0" applyNumberFormat="1" applyFont="1" applyFill="1" applyBorder="1" applyAlignment="1">
      <alignment vertical="top"/>
    </xf>
    <xf numFmtId="0" fontId="32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4" fontId="33" fillId="0" borderId="0" xfId="4" applyNumberFormat="1" applyFont="1" applyBorder="1" applyAlignment="1">
      <alignment horizontal="center" vertical="top" wrapText="1"/>
    </xf>
    <xf numFmtId="4" fontId="33" fillId="0" borderId="0" xfId="0" applyNumberFormat="1" applyFont="1" applyBorder="1" applyAlignment="1">
      <alignment vertical="top"/>
    </xf>
    <xf numFmtId="4" fontId="8" fillId="0" borderId="0" xfId="0" applyNumberFormat="1" applyFont="1" applyAlignment="1">
      <alignment vertical="top"/>
    </xf>
    <xf numFmtId="164" fontId="8" fillId="0" borderId="0" xfId="4" applyFont="1" applyFill="1" applyBorder="1" applyAlignment="1">
      <alignment vertical="top"/>
    </xf>
    <xf numFmtId="4" fontId="33" fillId="0" borderId="0" xfId="0" applyNumberFormat="1" applyFont="1" applyFill="1" applyBorder="1" applyAlignment="1">
      <alignment vertical="top"/>
    </xf>
    <xf numFmtId="0" fontId="21" fillId="0" borderId="0" xfId="0" applyFont="1" applyAlignment="1">
      <alignment vertical="top"/>
    </xf>
    <xf numFmtId="0" fontId="7" fillId="0" borderId="2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74" fontId="7" fillId="7" borderId="1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4" fontId="33" fillId="13" borderId="0" xfId="0" applyNumberFormat="1" applyFont="1" applyFill="1" applyBorder="1" applyAlignment="1">
      <alignment vertical="center"/>
    </xf>
    <xf numFmtId="178" fontId="33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64" fontId="8" fillId="9" borderId="0" xfId="4" applyFont="1" applyFill="1" applyBorder="1" applyAlignment="1">
      <alignment vertical="center"/>
    </xf>
    <xf numFmtId="0" fontId="8" fillId="9" borderId="0" xfId="0" applyFont="1" applyFill="1" applyBorder="1" applyAlignment="1">
      <alignment vertical="center"/>
    </xf>
    <xf numFmtId="164" fontId="8" fillId="9" borderId="0" xfId="0" applyNumberFormat="1" applyFont="1" applyFill="1" applyBorder="1" applyAlignment="1">
      <alignment vertical="center"/>
    </xf>
    <xf numFmtId="4" fontId="33" fillId="12" borderId="0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4" fontId="21" fillId="15" borderId="0" xfId="0" applyNumberFormat="1" applyFont="1" applyFill="1" applyAlignment="1">
      <alignment vertical="center"/>
    </xf>
    <xf numFmtId="164" fontId="21" fillId="14" borderId="0" xfId="4" applyFont="1" applyFill="1" applyBorder="1" applyAlignment="1">
      <alignment vertical="center"/>
    </xf>
    <xf numFmtId="43" fontId="8" fillId="0" borderId="0" xfId="0" applyNumberFormat="1" applyFont="1" applyAlignment="1">
      <alignment vertical="center"/>
    </xf>
    <xf numFmtId="0" fontId="41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9" fillId="14" borderId="0" xfId="0" applyNumberFormat="1" applyFont="1" applyFill="1" applyBorder="1" applyAlignment="1">
      <alignment vertical="center"/>
    </xf>
    <xf numFmtId="4" fontId="33" fillId="14" borderId="0" xfId="0" applyNumberFormat="1" applyFont="1" applyFill="1" applyBorder="1" applyAlignment="1">
      <alignment vertical="center"/>
    </xf>
    <xf numFmtId="0" fontId="34" fillId="1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" fontId="33" fillId="7" borderId="0" xfId="0" applyNumberFormat="1" applyFont="1" applyFill="1" applyBorder="1" applyAlignment="1">
      <alignment vertical="center"/>
    </xf>
    <xf numFmtId="164" fontId="24" fillId="9" borderId="0" xfId="0" applyNumberFormat="1" applyFont="1" applyFill="1" applyBorder="1" applyAlignment="1">
      <alignment vertical="center"/>
    </xf>
    <xf numFmtId="0" fontId="24" fillId="9" borderId="0" xfId="0" applyFont="1" applyFill="1" applyBorder="1" applyAlignment="1">
      <alignment vertical="center"/>
    </xf>
    <xf numFmtId="0" fontId="7" fillId="7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4" fontId="33" fillId="0" borderId="0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right" vertical="center"/>
    </xf>
    <xf numFmtId="164" fontId="8" fillId="0" borderId="0" xfId="4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vertical="center"/>
    </xf>
    <xf numFmtId="175" fontId="33" fillId="0" borderId="0" xfId="0" applyNumberFormat="1" applyFont="1" applyBorder="1" applyAlignment="1">
      <alignment vertical="center" wrapText="1"/>
    </xf>
    <xf numFmtId="179" fontId="14" fillId="0" borderId="17" xfId="0" applyNumberFormat="1" applyFont="1" applyFill="1" applyBorder="1" applyAlignment="1">
      <alignment horizontal="right" vertical="center" wrapText="1"/>
    </xf>
    <xf numFmtId="0" fontId="36" fillId="0" borderId="2" xfId="0" applyFont="1" applyBorder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0" fontId="36" fillId="0" borderId="5" xfId="0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left"/>
    </xf>
    <xf numFmtId="164" fontId="9" fillId="0" borderId="7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173" fontId="14" fillId="0" borderId="28" xfId="0" applyNumberFormat="1" applyFont="1" applyBorder="1" applyAlignment="1">
      <alignment horizontal="center" vertical="center" wrapText="1"/>
    </xf>
    <xf numFmtId="173" fontId="14" fillId="0" borderId="26" xfId="0" applyNumberFormat="1" applyFont="1" applyBorder="1" applyAlignment="1">
      <alignment horizontal="center" vertical="center" wrapText="1"/>
    </xf>
    <xf numFmtId="173" fontId="14" fillId="0" borderId="29" xfId="0" applyNumberFormat="1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36" fillId="0" borderId="0" xfId="0" applyFont="1" applyAlignment="1">
      <alignment horizontal="center"/>
    </xf>
    <xf numFmtId="164" fontId="14" fillId="0" borderId="28" xfId="0" applyNumberFormat="1" applyFont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43" fontId="7" fillId="0" borderId="28" xfId="0" applyNumberFormat="1" applyFont="1" applyBorder="1" applyAlignment="1">
      <alignment horizontal="center"/>
    </xf>
    <xf numFmtId="0" fontId="19" fillId="0" borderId="14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31" xfId="0" applyFont="1" applyBorder="1" applyAlignment="1">
      <alignment horizontal="right" vertical="center" wrapText="1"/>
    </xf>
    <xf numFmtId="0" fontId="19" fillId="0" borderId="24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 wrapText="1"/>
    </xf>
    <xf numFmtId="0" fontId="19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30" xfId="0" applyFont="1" applyBorder="1" applyAlignment="1">
      <alignment horizontal="left" wrapText="1"/>
    </xf>
    <xf numFmtId="0" fontId="11" fillId="7" borderId="24" xfId="0" applyFont="1" applyFill="1" applyBorder="1" applyAlignment="1">
      <alignment horizontal="right" vertical="center"/>
    </xf>
    <xf numFmtId="0" fontId="11" fillId="7" borderId="7" xfId="0" applyFont="1" applyFill="1" applyBorder="1" applyAlignment="1">
      <alignment horizontal="right" vertical="center"/>
    </xf>
    <xf numFmtId="0" fontId="11" fillId="7" borderId="5" xfId="0" applyFont="1" applyFill="1" applyBorder="1" applyAlignment="1">
      <alignment horizontal="right" vertical="center"/>
    </xf>
    <xf numFmtId="0" fontId="11" fillId="0" borderId="24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1" fillId="0" borderId="25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1" fillId="7" borderId="24" xfId="0" applyFont="1" applyFill="1" applyBorder="1" applyAlignment="1">
      <alignment horizontal="right" vertical="center" wrapText="1"/>
    </xf>
    <xf numFmtId="0" fontId="11" fillId="7" borderId="7" xfId="0" applyFont="1" applyFill="1" applyBorder="1" applyAlignment="1">
      <alignment horizontal="right" vertical="center" wrapText="1"/>
    </xf>
    <xf numFmtId="0" fontId="11" fillId="7" borderId="5" xfId="0" applyFont="1" applyFill="1" applyBorder="1" applyAlignment="1">
      <alignment horizontal="right" vertical="center" wrapText="1"/>
    </xf>
    <xf numFmtId="0" fontId="48" fillId="0" borderId="24" xfId="6" applyBorder="1" applyAlignment="1" applyProtection="1">
      <alignment horizontal="right" vertical="center" wrapText="1"/>
    </xf>
    <xf numFmtId="171" fontId="7" fillId="0" borderId="28" xfId="0" applyNumberFormat="1" applyFont="1" applyBorder="1" applyAlignment="1">
      <alignment horizontal="center"/>
    </xf>
    <xf numFmtId="0" fontId="16" fillId="8" borderId="2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11" fillId="7" borderId="1" xfId="0" applyFont="1" applyFill="1" applyBorder="1" applyAlignment="1">
      <alignment horizontal="right" vertical="center"/>
    </xf>
    <xf numFmtId="0" fontId="13" fillId="8" borderId="20" xfId="0" applyFont="1" applyFill="1" applyBorder="1" applyAlignment="1">
      <alignment horizontal="center" vertical="center" wrapText="1"/>
    </xf>
    <xf numFmtId="0" fontId="13" fillId="8" borderId="2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wrapText="1"/>
    </xf>
    <xf numFmtId="0" fontId="8" fillId="0" borderId="5" xfId="0" applyFont="1" applyFill="1" applyBorder="1" applyAlignment="1">
      <alignment horizontal="right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right" vertical="center"/>
    </xf>
    <xf numFmtId="0" fontId="11" fillId="7" borderId="24" xfId="0" applyFont="1" applyFill="1" applyBorder="1" applyAlignment="1">
      <alignment horizontal="right" wrapText="1"/>
    </xf>
    <xf numFmtId="0" fontId="11" fillId="7" borderId="7" xfId="0" applyFont="1" applyFill="1" applyBorder="1" applyAlignment="1">
      <alignment horizontal="right" wrapText="1"/>
    </xf>
    <xf numFmtId="0" fontId="11" fillId="7" borderId="5" xfId="0" applyFont="1" applyFill="1" applyBorder="1" applyAlignment="1">
      <alignment horizontal="right" wrapText="1"/>
    </xf>
    <xf numFmtId="0" fontId="5" fillId="0" borderId="2" xfId="0" applyFont="1" applyFill="1" applyBorder="1" applyAlignment="1">
      <alignment horizontal="center" wrapText="1"/>
    </xf>
  </cellXfs>
  <cellStyles count="7">
    <cellStyle name="Гиперссылка" xfId="6" builtinId="8"/>
    <cellStyle name="Обычный" xfId="0" builtinId="0"/>
    <cellStyle name="Обычный 2 2" xfId="1"/>
    <cellStyle name="Обычный 3" xfId="2"/>
    <cellStyle name="Обычный 4" xfId="3"/>
    <cellStyle name="Финансовый" xfId="4" builtinId="3"/>
    <cellStyle name="Финансовый 2 2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view="pageBreakPreview" zoomScaleSheetLayoutView="100" workbookViewId="0">
      <selection activeCell="M21" sqref="M21"/>
    </sheetView>
  </sheetViews>
  <sheetFormatPr defaultColWidth="8.85546875" defaultRowHeight="12.75"/>
  <cols>
    <col min="1" max="1" width="27" style="1" customWidth="1"/>
    <col min="2" max="2" width="11.140625" style="1" customWidth="1"/>
    <col min="3" max="3" width="13.140625" style="1" customWidth="1"/>
    <col min="4" max="4" width="12.28515625" style="1" customWidth="1"/>
    <col min="5" max="9" width="8.85546875" style="1"/>
    <col min="10" max="10" width="9.28515625" style="1" bestFit="1" customWidth="1"/>
    <col min="11" max="11" width="8.85546875" style="1"/>
    <col min="12" max="12" width="27.140625" style="1" customWidth="1"/>
    <col min="13" max="13" width="15.5703125" style="1" customWidth="1"/>
    <col min="14" max="14" width="17.5703125" style="1" customWidth="1"/>
    <col min="15" max="15" width="8.140625" style="1" customWidth="1"/>
    <col min="16" max="17" width="8.85546875" style="1"/>
    <col min="18" max="18" width="12" style="1" bestFit="1" customWidth="1"/>
    <col min="19" max="19" width="18.28515625" style="1" bestFit="1" customWidth="1"/>
    <col min="20" max="16384" width="8.85546875" style="1"/>
  </cols>
  <sheetData>
    <row r="1" spans="1:19" ht="42" customHeight="1">
      <c r="A1" s="363" t="s">
        <v>227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  <c r="L1" s="364"/>
      <c r="M1" s="364"/>
      <c r="N1" s="365"/>
    </row>
    <row r="2" spans="1:19" ht="70.5" customHeight="1">
      <c r="A2" s="369" t="s">
        <v>158</v>
      </c>
      <c r="B2" s="369" t="s">
        <v>65</v>
      </c>
      <c r="C2" s="369"/>
      <c r="D2" s="369"/>
      <c r="E2" s="369" t="s">
        <v>66</v>
      </c>
      <c r="F2" s="369"/>
      <c r="G2" s="369"/>
      <c r="H2" s="369"/>
      <c r="I2" s="369"/>
      <c r="J2" s="369"/>
      <c r="K2" s="369"/>
      <c r="L2" s="369" t="s">
        <v>67</v>
      </c>
      <c r="M2" s="370" t="s">
        <v>177</v>
      </c>
      <c r="N2" s="371" t="s">
        <v>178</v>
      </c>
    </row>
    <row r="3" spans="1:19" ht="16.5" customHeight="1">
      <c r="A3" s="369"/>
      <c r="B3" s="120" t="s">
        <v>30</v>
      </c>
      <c r="C3" s="120" t="s">
        <v>64</v>
      </c>
      <c r="D3" s="120" t="s">
        <v>31</v>
      </c>
      <c r="E3" s="120" t="s">
        <v>32</v>
      </c>
      <c r="F3" s="120" t="s">
        <v>33</v>
      </c>
      <c r="G3" s="120" t="s">
        <v>34</v>
      </c>
      <c r="H3" s="120" t="s">
        <v>35</v>
      </c>
      <c r="I3" s="120" t="s">
        <v>36</v>
      </c>
      <c r="J3" s="120" t="s">
        <v>37</v>
      </c>
      <c r="K3" s="120" t="s">
        <v>38</v>
      </c>
      <c r="L3" s="369"/>
      <c r="M3" s="370"/>
      <c r="N3" s="371"/>
    </row>
    <row r="4" spans="1:19">
      <c r="A4" s="121">
        <v>1</v>
      </c>
      <c r="B4" s="121">
        <v>2</v>
      </c>
      <c r="C4" s="121">
        <v>3</v>
      </c>
      <c r="D4" s="121">
        <v>4</v>
      </c>
      <c r="E4" s="121">
        <v>5</v>
      </c>
      <c r="F4" s="121">
        <v>6</v>
      </c>
      <c r="G4" s="121">
        <v>7</v>
      </c>
      <c r="H4" s="121">
        <v>8</v>
      </c>
      <c r="I4" s="121">
        <v>9</v>
      </c>
      <c r="J4" s="121">
        <v>10</v>
      </c>
      <c r="K4" s="121">
        <v>11</v>
      </c>
      <c r="L4" s="121" t="s">
        <v>39</v>
      </c>
      <c r="M4" s="122">
        <v>13</v>
      </c>
      <c r="N4" s="122" t="s">
        <v>179</v>
      </c>
    </row>
    <row r="5" spans="1:19" ht="51.75">
      <c r="A5" s="166" t="s">
        <v>191</v>
      </c>
      <c r="B5" s="279">
        <f>'расчет свод'!J15</f>
        <v>72579.378205128189</v>
      </c>
      <c r="C5" s="280">
        <f>'расчет свод'!J43</f>
        <v>673.07692307692309</v>
      </c>
      <c r="D5" s="280">
        <f>'расчет свод'!J51</f>
        <v>540.86538461538464</v>
      </c>
      <c r="E5" s="279">
        <f>'расчет свод'!J61</f>
        <v>8299.2494230769207</v>
      </c>
      <c r="F5" s="279">
        <f>'расчет свод'!J70</f>
        <v>2368.0281249999998</v>
      </c>
      <c r="G5" s="280">
        <f>'расчет свод'!J72</f>
        <v>0</v>
      </c>
      <c r="H5" s="280">
        <f>'расчет свод'!J77</f>
        <v>1216.1357692307695</v>
      </c>
      <c r="I5" s="280">
        <f>'расчет свод'!J80</f>
        <v>96.15384615384616</v>
      </c>
      <c r="J5" s="280">
        <f>'расчет свод'!J93</f>
        <v>22621.792579615369</v>
      </c>
      <c r="K5" s="280">
        <f>'расчет свод'!J131</f>
        <v>25835.742451923074</v>
      </c>
      <c r="L5" s="281">
        <f>SUM(B5:K5)</f>
        <v>134230.42270782049</v>
      </c>
      <c r="M5" s="282">
        <f>'расчет свод'!C4</f>
        <v>18</v>
      </c>
      <c r="N5" s="283">
        <f>M5*L5</f>
        <v>2416147.6087407689</v>
      </c>
      <c r="R5" s="18"/>
      <c r="S5" s="18"/>
    </row>
    <row r="6" spans="1:19" ht="51.75">
      <c r="A6" s="166" t="s">
        <v>190</v>
      </c>
      <c r="B6" s="279">
        <f>'расчет свод'!V15</f>
        <v>75028.618515205715</v>
      </c>
      <c r="C6" s="280">
        <f>'расчет свод'!V43</f>
        <v>673.07692307692309</v>
      </c>
      <c r="D6" s="280">
        <f>'расчет свод'!V51</f>
        <v>540.86538461538464</v>
      </c>
      <c r="E6" s="279">
        <f>'расчет свод'!V61</f>
        <v>8299.2494230769189</v>
      </c>
      <c r="F6" s="279">
        <f>'расчет свод'!V70</f>
        <v>2368.0281249999998</v>
      </c>
      <c r="G6" s="280">
        <f>'расчет свод'!V72</f>
        <v>0</v>
      </c>
      <c r="H6" s="280">
        <f>'расчет свод'!V77</f>
        <v>1216.1357692307695</v>
      </c>
      <c r="I6" s="280">
        <f>'расчет свод'!V80</f>
        <v>96.15384615384616</v>
      </c>
      <c r="J6" s="280">
        <f>'расчет свод'!V93</f>
        <v>22621.792579615369</v>
      </c>
      <c r="K6" s="280">
        <f>'расчет свод'!V131</f>
        <v>25835.742451923074</v>
      </c>
      <c r="L6" s="281">
        <f>SUM(B6:K6)</f>
        <v>136679.66301789801</v>
      </c>
      <c r="M6" s="282">
        <f>'расчет свод'!O4</f>
        <v>86</v>
      </c>
      <c r="N6" s="283">
        <f>M6*L6</f>
        <v>11754451.01953923</v>
      </c>
      <c r="R6" s="18"/>
      <c r="S6" s="18"/>
    </row>
    <row r="7" spans="1:19" ht="15">
      <c r="A7" s="167" t="s">
        <v>145</v>
      </c>
      <c r="B7" s="279">
        <f>'расчет свод'!AH15</f>
        <v>38332.107884615478</v>
      </c>
      <c r="C7" s="280">
        <f>'расчет свод'!AH43</f>
        <v>529.71153846153845</v>
      </c>
      <c r="D7" s="280">
        <f>'расчет свод'!AH51</f>
        <v>0</v>
      </c>
      <c r="E7" s="279">
        <f>'расчет свод'!AH61</f>
        <v>8299.2494230769207</v>
      </c>
      <c r="F7" s="279">
        <f>'расчет свод'!AH70</f>
        <v>2368.0281249999998</v>
      </c>
      <c r="G7" s="280">
        <f>'расчет свод'!AH72</f>
        <v>0</v>
      </c>
      <c r="H7" s="280">
        <f>'расчет свод'!AH77</f>
        <v>158.44346153846158</v>
      </c>
      <c r="I7" s="280">
        <f>'расчет свод'!AH80</f>
        <v>48.07692307692308</v>
      </c>
      <c r="J7" s="280">
        <f>'расчет свод'!AH93</f>
        <v>53413.787131923076</v>
      </c>
      <c r="K7" s="280">
        <f>'расчет свод'!AH131</f>
        <v>25723.434759615382</v>
      </c>
      <c r="L7" s="281">
        <f t="shared" ref="L7" si="0">SUM(B7:K7)</f>
        <v>128872.83924730778</v>
      </c>
      <c r="M7" s="282">
        <f>'расчет свод'!AA4</f>
        <v>104</v>
      </c>
      <c r="N7" s="283">
        <f t="shared" ref="N7" si="1">M7*L7</f>
        <v>13402775.281720009</v>
      </c>
      <c r="R7" s="18"/>
      <c r="S7" s="18"/>
    </row>
    <row r="8" spans="1:19" ht="21.75" customHeight="1">
      <c r="A8" s="366" t="s">
        <v>180</v>
      </c>
      <c r="B8" s="367"/>
      <c r="C8" s="367"/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44">
        <f>SUM(N5:N7)</f>
        <v>27573373.910000008</v>
      </c>
      <c r="S8" s="9"/>
    </row>
    <row r="9" spans="1:19" ht="15">
      <c r="L9" s="124" t="s">
        <v>181</v>
      </c>
      <c r="M9" s="123">
        <f>'расчет свод'!AH138</f>
        <v>1153119.3400000001</v>
      </c>
      <c r="S9" s="8"/>
    </row>
    <row r="10" spans="1:19" ht="28.5">
      <c r="L10" s="125" t="s">
        <v>182</v>
      </c>
      <c r="M10" s="123">
        <f>'расчет свод'!AH137</f>
        <v>26420254.57</v>
      </c>
    </row>
    <row r="11" spans="1:19">
      <c r="N11" s="18"/>
    </row>
    <row r="12" spans="1:19">
      <c r="J12" s="18"/>
      <c r="L12" s="9"/>
    </row>
    <row r="13" spans="1:19" ht="15">
      <c r="K13" s="16"/>
      <c r="L13" s="9"/>
      <c r="N13" s="18"/>
    </row>
    <row r="14" spans="1:19" ht="15">
      <c r="K14" s="16"/>
      <c r="L14" s="9"/>
      <c r="M14" s="18"/>
      <c r="N14" s="127"/>
    </row>
    <row r="15" spans="1:19" ht="15">
      <c r="K15" s="2"/>
      <c r="L15" s="9"/>
      <c r="N15" s="127">
        <f>N8-M9-M10</f>
        <v>0</v>
      </c>
    </row>
    <row r="19" ht="11.25" customHeight="1"/>
  </sheetData>
  <mergeCells count="8">
    <mergeCell ref="A1:N1"/>
    <mergeCell ref="A8:M8"/>
    <mergeCell ref="A2:A3"/>
    <mergeCell ref="B2:D2"/>
    <mergeCell ref="E2:K2"/>
    <mergeCell ref="L2:L3"/>
    <mergeCell ref="M2:M3"/>
    <mergeCell ref="N2:N3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167"/>
  <sheetViews>
    <sheetView tabSelected="1" view="pageBreakPreview" topLeftCell="W1" zoomScale="76" zoomScaleNormal="70" zoomScaleSheetLayoutView="76" zoomScalePageLayoutView="85" workbookViewId="0">
      <selection activeCell="Z139" sqref="Z139"/>
    </sheetView>
  </sheetViews>
  <sheetFormatPr defaultColWidth="8.85546875" defaultRowHeight="18.75" outlineLevelRow="2"/>
  <cols>
    <col min="1" max="1" width="5.42578125" style="2" customWidth="1"/>
    <col min="2" max="2" width="32.140625" style="2" customWidth="1"/>
    <col min="3" max="3" width="11.5703125" style="2" customWidth="1"/>
    <col min="4" max="4" width="13.85546875" style="2" bestFit="1" customWidth="1"/>
    <col min="5" max="5" width="20.7109375" style="2" bestFit="1" customWidth="1"/>
    <col min="6" max="6" width="16.42578125" style="7" customWidth="1"/>
    <col min="7" max="7" width="20.28515625" style="2" customWidth="1"/>
    <col min="8" max="8" width="12.7109375" style="2" customWidth="1"/>
    <col min="9" max="9" width="11.140625" style="2" customWidth="1"/>
    <col min="10" max="10" width="19.7109375" style="236" bestFit="1" customWidth="1"/>
    <col min="11" max="11" width="27" style="2" customWidth="1"/>
    <col min="12" max="12" width="5.85546875" style="56" customWidth="1"/>
    <col min="13" max="13" width="5.85546875" style="2" bestFit="1" customWidth="1"/>
    <col min="14" max="14" width="32.140625" style="2" customWidth="1"/>
    <col min="15" max="15" width="11.5703125" style="2" customWidth="1"/>
    <col min="16" max="16" width="15.85546875" style="2" customWidth="1"/>
    <col min="17" max="17" width="22.42578125" style="2" customWidth="1"/>
    <col min="18" max="18" width="18.5703125" style="7" customWidth="1"/>
    <col min="19" max="19" width="17" style="2" customWidth="1"/>
    <col min="20" max="20" width="17.42578125" style="2" customWidth="1"/>
    <col min="21" max="21" width="12.140625" style="2" customWidth="1"/>
    <col min="22" max="22" width="19.7109375" style="236" bestFit="1" customWidth="1"/>
    <col min="23" max="23" width="27.5703125" style="2" customWidth="1"/>
    <col min="24" max="24" width="5.28515625" style="26" customWidth="1"/>
    <col min="25" max="25" width="5.85546875" style="2" bestFit="1" customWidth="1"/>
    <col min="26" max="26" width="34.7109375" style="2" customWidth="1"/>
    <col min="27" max="27" width="17.42578125" style="2" customWidth="1"/>
    <col min="28" max="28" width="10.85546875" style="2" customWidth="1"/>
    <col min="29" max="29" width="14" style="2" customWidth="1"/>
    <col min="30" max="30" width="14.85546875" style="7" customWidth="1"/>
    <col min="31" max="31" width="20.28515625" style="2" customWidth="1"/>
    <col min="32" max="32" width="12.7109375" style="2" customWidth="1"/>
    <col min="33" max="33" width="15.5703125" style="2" customWidth="1"/>
    <col min="34" max="34" width="19.7109375" style="236" customWidth="1"/>
    <col min="35" max="35" width="24.28515625" style="2" customWidth="1"/>
    <col min="36" max="36" width="15.140625" style="2" customWidth="1"/>
    <col min="37" max="37" width="25" style="130" customWidth="1"/>
    <col min="38" max="38" width="23.5703125" style="269" customWidth="1"/>
    <col min="39" max="39" width="21.85546875" style="2" customWidth="1"/>
    <col min="40" max="40" width="17.5703125" style="2" customWidth="1"/>
    <col min="41" max="41" width="20.7109375" style="2" customWidth="1"/>
    <col min="42" max="42" width="21.7109375" style="2" customWidth="1"/>
    <col min="43" max="44" width="18.7109375" style="2" customWidth="1"/>
    <col min="45" max="45" width="20.85546875" style="2" customWidth="1"/>
    <col min="46" max="46" width="16.7109375" style="2" customWidth="1"/>
    <col min="47" max="47" width="13.85546875" style="2" customWidth="1"/>
    <col min="48" max="48" width="13" style="2" customWidth="1"/>
    <col min="49" max="49" width="12.7109375" style="2" customWidth="1"/>
    <col min="50" max="50" width="19.7109375" style="2" customWidth="1"/>
    <col min="51" max="51" width="13.5703125" style="2" customWidth="1"/>
    <col min="52" max="16384" width="8.85546875" style="2"/>
  </cols>
  <sheetData>
    <row r="1" spans="1:51">
      <c r="B1" s="384" t="s">
        <v>228</v>
      </c>
      <c r="C1" s="384"/>
      <c r="D1" s="384"/>
      <c r="E1" s="384"/>
      <c r="F1" s="384"/>
      <c r="G1" s="384"/>
      <c r="H1" s="384"/>
      <c r="I1" s="384"/>
      <c r="J1" s="384"/>
    </row>
    <row r="2" spans="1:51" ht="19.5" customHeight="1">
      <c r="A2" s="19"/>
      <c r="B2" s="47" t="s">
        <v>175</v>
      </c>
      <c r="C2" s="19"/>
      <c r="D2" s="19"/>
      <c r="E2" s="19"/>
      <c r="F2" s="43"/>
      <c r="G2" s="19"/>
      <c r="H2" s="19"/>
      <c r="M2" s="19"/>
      <c r="N2" s="47" t="s">
        <v>175</v>
      </c>
      <c r="O2" s="19"/>
      <c r="P2" s="19"/>
      <c r="Q2" s="19"/>
      <c r="R2" s="43"/>
      <c r="S2" s="19"/>
      <c r="T2" s="19"/>
      <c r="Y2" s="19"/>
      <c r="Z2" s="47" t="s">
        <v>176</v>
      </c>
      <c r="AA2" s="19"/>
      <c r="AB2" s="19"/>
      <c r="AC2" s="19"/>
      <c r="AD2" s="20"/>
      <c r="AE2" s="19"/>
      <c r="AF2" s="19"/>
    </row>
    <row r="3" spans="1:51" s="114" customFormat="1" ht="19.5" customHeight="1">
      <c r="B3" s="114" t="s">
        <v>153</v>
      </c>
      <c r="E3" s="115"/>
      <c r="F3" s="116"/>
      <c r="J3" s="247"/>
      <c r="L3" s="117"/>
      <c r="N3" s="114" t="s">
        <v>154</v>
      </c>
      <c r="Q3" s="115"/>
      <c r="R3" s="116"/>
      <c r="V3" s="247"/>
      <c r="X3" s="117"/>
      <c r="AC3" s="115"/>
      <c r="AD3" s="118"/>
      <c r="AH3" s="247"/>
      <c r="AK3" s="131"/>
      <c r="AL3" s="270"/>
    </row>
    <row r="4" spans="1:51" ht="19.5" thickBot="1">
      <c r="B4" s="128" t="s">
        <v>205</v>
      </c>
      <c r="C4" s="2">
        <v>18</v>
      </c>
      <c r="F4" s="34"/>
      <c r="N4" s="119" t="s">
        <v>205</v>
      </c>
      <c r="O4" s="2">
        <v>86</v>
      </c>
      <c r="R4" s="34"/>
      <c r="W4" s="223">
        <f>AM15</f>
        <v>0</v>
      </c>
      <c r="Y4" s="34"/>
      <c r="Z4" s="119" t="s">
        <v>205</v>
      </c>
      <c r="AA4" s="34">
        <v>104</v>
      </c>
      <c r="AB4" s="34"/>
      <c r="AC4" s="34"/>
      <c r="AD4" s="34"/>
      <c r="AE4" s="34"/>
      <c r="AF4" s="34"/>
      <c r="AG4" s="34"/>
      <c r="AH4" s="264"/>
      <c r="AI4" s="34"/>
      <c r="AJ4" s="34"/>
      <c r="AK4" s="132" t="s">
        <v>151</v>
      </c>
      <c r="AL4" s="271" t="s">
        <v>152</v>
      </c>
      <c r="AM4" s="34"/>
      <c r="AO4" s="2" t="s">
        <v>107</v>
      </c>
      <c r="AQ4" s="2" t="s">
        <v>127</v>
      </c>
    </row>
    <row r="5" spans="1:51" ht="90" customHeight="1">
      <c r="A5" s="84" t="s">
        <v>1</v>
      </c>
      <c r="B5" s="85" t="s">
        <v>4</v>
      </c>
      <c r="C5" s="428" t="s">
        <v>83</v>
      </c>
      <c r="D5" s="429"/>
      <c r="E5" s="85" t="s">
        <v>51</v>
      </c>
      <c r="F5" s="85" t="s">
        <v>2</v>
      </c>
      <c r="G5" s="85" t="s">
        <v>72</v>
      </c>
      <c r="H5" s="85"/>
      <c r="I5" s="85" t="s">
        <v>82</v>
      </c>
      <c r="J5" s="248" t="s">
        <v>5</v>
      </c>
      <c r="K5" s="86" t="s">
        <v>0</v>
      </c>
      <c r="L5" s="57"/>
      <c r="M5" s="84" t="s">
        <v>1</v>
      </c>
      <c r="N5" s="85" t="s">
        <v>4</v>
      </c>
      <c r="O5" s="428" t="s">
        <v>83</v>
      </c>
      <c r="P5" s="429"/>
      <c r="Q5" s="85" t="s">
        <v>51</v>
      </c>
      <c r="R5" s="85" t="s">
        <v>2</v>
      </c>
      <c r="S5" s="85" t="s">
        <v>72</v>
      </c>
      <c r="T5" s="85"/>
      <c r="U5" s="85" t="s">
        <v>82</v>
      </c>
      <c r="V5" s="248" t="s">
        <v>5</v>
      </c>
      <c r="W5" s="86" t="s">
        <v>0</v>
      </c>
      <c r="X5" s="72"/>
      <c r="Y5" s="84" t="s">
        <v>1</v>
      </c>
      <c r="Z5" s="85" t="s">
        <v>4</v>
      </c>
      <c r="AA5" s="428" t="s">
        <v>83</v>
      </c>
      <c r="AB5" s="429"/>
      <c r="AC5" s="85" t="s">
        <v>51</v>
      </c>
      <c r="AD5" s="85" t="s">
        <v>2</v>
      </c>
      <c r="AE5" s="85" t="s">
        <v>72</v>
      </c>
      <c r="AF5" s="85"/>
      <c r="AG5" s="85" t="s">
        <v>82</v>
      </c>
      <c r="AH5" s="248" t="s">
        <v>5</v>
      </c>
      <c r="AI5" s="86" t="s">
        <v>0</v>
      </c>
      <c r="AJ5" s="72"/>
      <c r="AK5" s="200"/>
      <c r="AL5" s="200"/>
      <c r="AM5" s="74" t="s">
        <v>80</v>
      </c>
      <c r="AN5" s="74"/>
      <c r="AO5" s="26"/>
      <c r="AP5" s="26"/>
      <c r="AQ5" s="26"/>
      <c r="AR5" s="26"/>
      <c r="AV5" s="2" t="s">
        <v>102</v>
      </c>
      <c r="AW5" s="119" t="s">
        <v>206</v>
      </c>
      <c r="AX5" s="2">
        <f>123/6</f>
        <v>20.5</v>
      </c>
    </row>
    <row r="6" spans="1:51">
      <c r="A6" s="87">
        <v>1</v>
      </c>
      <c r="B6" s="88">
        <v>2</v>
      </c>
      <c r="C6" s="422"/>
      <c r="D6" s="423"/>
      <c r="E6" s="88">
        <v>3</v>
      </c>
      <c r="F6" s="88">
        <v>4</v>
      </c>
      <c r="G6" s="88" t="s">
        <v>71</v>
      </c>
      <c r="H6" s="88"/>
      <c r="I6" s="88">
        <v>6</v>
      </c>
      <c r="J6" s="249" t="s">
        <v>50</v>
      </c>
      <c r="K6" s="89">
        <v>8</v>
      </c>
      <c r="L6" s="57"/>
      <c r="M6" s="87">
        <v>1</v>
      </c>
      <c r="N6" s="88">
        <v>2</v>
      </c>
      <c r="O6" s="422"/>
      <c r="P6" s="423"/>
      <c r="Q6" s="88">
        <v>3</v>
      </c>
      <c r="R6" s="88">
        <v>4</v>
      </c>
      <c r="S6" s="88" t="s">
        <v>71</v>
      </c>
      <c r="T6" s="88"/>
      <c r="U6" s="88">
        <v>6</v>
      </c>
      <c r="V6" s="249" t="s">
        <v>50</v>
      </c>
      <c r="W6" s="89">
        <v>8</v>
      </c>
      <c r="X6" s="72"/>
      <c r="Y6" s="87">
        <v>1</v>
      </c>
      <c r="Z6" s="88">
        <v>2</v>
      </c>
      <c r="AA6" s="422"/>
      <c r="AB6" s="423"/>
      <c r="AC6" s="88">
        <v>3</v>
      </c>
      <c r="AD6" s="88">
        <v>4</v>
      </c>
      <c r="AE6" s="88" t="s">
        <v>71</v>
      </c>
      <c r="AF6" s="88"/>
      <c r="AG6" s="88">
        <v>6</v>
      </c>
      <c r="AH6" s="249" t="s">
        <v>50</v>
      </c>
      <c r="AI6" s="89">
        <v>8</v>
      </c>
      <c r="AJ6" s="72"/>
      <c r="AK6" s="201">
        <v>7588</v>
      </c>
      <c r="AL6" s="200">
        <v>7408</v>
      </c>
      <c r="AM6" s="74"/>
      <c r="AN6" s="74"/>
      <c r="AO6" s="194"/>
      <c r="AP6" s="195"/>
      <c r="AQ6" s="194"/>
      <c r="AR6" s="195"/>
      <c r="AV6" s="2" t="s">
        <v>103</v>
      </c>
      <c r="AW6" s="2">
        <f>13*36</f>
        <v>468</v>
      </c>
      <c r="AX6" s="2">
        <f>AW6*18</f>
        <v>8424</v>
      </c>
      <c r="AY6" s="2" t="s">
        <v>106</v>
      </c>
    </row>
    <row r="7" spans="1:51" ht="19.5">
      <c r="A7" s="424" t="s">
        <v>7</v>
      </c>
      <c r="B7" s="425"/>
      <c r="C7" s="425"/>
      <c r="D7" s="425"/>
      <c r="E7" s="425"/>
      <c r="F7" s="425"/>
      <c r="G7" s="425"/>
      <c r="H7" s="425"/>
      <c r="I7" s="425"/>
      <c r="J7" s="425"/>
      <c r="K7" s="426"/>
      <c r="L7" s="58"/>
      <c r="M7" s="424" t="s">
        <v>7</v>
      </c>
      <c r="N7" s="425"/>
      <c r="O7" s="425"/>
      <c r="P7" s="425"/>
      <c r="Q7" s="425"/>
      <c r="R7" s="425"/>
      <c r="S7" s="425"/>
      <c r="T7" s="425"/>
      <c r="U7" s="425"/>
      <c r="V7" s="425"/>
      <c r="W7" s="426"/>
      <c r="X7" s="73"/>
      <c r="Y7" s="424" t="s">
        <v>7</v>
      </c>
      <c r="Z7" s="425"/>
      <c r="AA7" s="425"/>
      <c r="AB7" s="425"/>
      <c r="AC7" s="425"/>
      <c r="AD7" s="425"/>
      <c r="AE7" s="425"/>
      <c r="AF7" s="425"/>
      <c r="AG7" s="425"/>
      <c r="AH7" s="425"/>
      <c r="AI7" s="426"/>
      <c r="AJ7" s="73"/>
      <c r="AK7" s="202"/>
      <c r="AL7" s="272"/>
      <c r="AM7" s="198"/>
      <c r="AN7" s="198"/>
      <c r="AO7" s="26"/>
      <c r="AP7" s="26"/>
      <c r="AQ7" s="26"/>
      <c r="AR7" s="26"/>
      <c r="AV7" s="2">
        <v>468</v>
      </c>
      <c r="AW7" s="21">
        <v>36</v>
      </c>
      <c r="AX7" s="2">
        <f>AW7*AV7</f>
        <v>16848</v>
      </c>
      <c r="AY7" s="2">
        <v>6</v>
      </c>
    </row>
    <row r="8" spans="1:51">
      <c r="A8" s="65">
        <f>M8</f>
        <v>1</v>
      </c>
      <c r="B8" s="347" t="str">
        <f>N8</f>
        <v>Старший воспитатель</v>
      </c>
      <c r="C8" s="372">
        <f>1/104*F8</f>
        <v>0.17307692307692307</v>
      </c>
      <c r="D8" s="373"/>
      <c r="E8" s="30">
        <f t="shared" ref="E8:E14" si="0">C8*1774.4</f>
        <v>307.10769230769233</v>
      </c>
      <c r="F8" s="126">
        <f>C4</f>
        <v>18</v>
      </c>
      <c r="G8" s="46">
        <f t="shared" ref="G8:G14" si="1">E8/F8</f>
        <v>17.061538461538461</v>
      </c>
      <c r="H8" s="32"/>
      <c r="I8" s="36">
        <f>U8</f>
        <v>307.78014201983729</v>
      </c>
      <c r="J8" s="250">
        <f t="shared" ref="J8:J14" si="2">IFERROR(G8*I8,0)</f>
        <v>5251.2027307692242</v>
      </c>
      <c r="K8" s="385"/>
      <c r="L8" s="59"/>
      <c r="M8" s="65">
        <v>1</v>
      </c>
      <c r="N8" s="83" t="s">
        <v>108</v>
      </c>
      <c r="O8" s="372">
        <f>1/104*R8</f>
        <v>0.82692307692307698</v>
      </c>
      <c r="P8" s="373"/>
      <c r="Q8" s="30">
        <f t="shared" ref="Q8:Q14" si="3">O8*1774.4</f>
        <v>1467.292307692308</v>
      </c>
      <c r="R8" s="30">
        <f>O4</f>
        <v>86</v>
      </c>
      <c r="S8" s="46">
        <f>Q8/R8</f>
        <v>17.061538461538465</v>
      </c>
      <c r="T8" s="32"/>
      <c r="U8" s="36">
        <f>(34954.2424475166)*1.302/1774.4*12</f>
        <v>307.78014201983729</v>
      </c>
      <c r="V8" s="261">
        <f>IFERROR(S8*U8,0)</f>
        <v>5251.2027307692251</v>
      </c>
      <c r="W8" s="374"/>
      <c r="X8" s="23"/>
      <c r="Y8" s="65">
        <v>1</v>
      </c>
      <c r="Z8" s="83" t="s">
        <v>126</v>
      </c>
      <c r="AA8" s="430">
        <v>9</v>
      </c>
      <c r="AB8" s="431"/>
      <c r="AC8" s="30">
        <f>AA8*1774.4</f>
        <v>15969.6</v>
      </c>
      <c r="AD8" s="30">
        <f>AA4</f>
        <v>104</v>
      </c>
      <c r="AE8" s="46">
        <f>AC8/AD8</f>
        <v>153.55384615384617</v>
      </c>
      <c r="AF8" s="32"/>
      <c r="AG8" s="36">
        <f>(255154.83998976)*1.302/1774.4/AA8*12</f>
        <v>249.63300395751986</v>
      </c>
      <c r="AH8" s="261">
        <f>IFERROR(AE8*AG8,0)</f>
        <v>38332.107884615478</v>
      </c>
      <c r="AI8" s="377"/>
      <c r="AJ8" s="12">
        <f>O8+C8</f>
        <v>1</v>
      </c>
      <c r="AK8" s="135">
        <f>V8*R8+J8*F8</f>
        <v>546125.08399999945</v>
      </c>
      <c r="AL8" s="273">
        <f>AH8*AD8</f>
        <v>3986539.2200000095</v>
      </c>
      <c r="AM8" s="183">
        <v>1</v>
      </c>
      <c r="AN8" s="199"/>
      <c r="AO8" s="24"/>
      <c r="AP8" s="24"/>
      <c r="AQ8" s="24"/>
      <c r="AR8" s="24"/>
      <c r="AW8" s="21"/>
    </row>
    <row r="9" spans="1:51" outlineLevel="1">
      <c r="A9" s="65">
        <f t="shared" ref="A9:A14" si="4">M9</f>
        <v>2</v>
      </c>
      <c r="B9" s="347" t="str">
        <f t="shared" ref="B9:B14" si="5">N9</f>
        <v>Воспитатель</v>
      </c>
      <c r="C9" s="372">
        <f>2/18*F9</f>
        <v>2</v>
      </c>
      <c r="D9" s="373"/>
      <c r="E9" s="30">
        <f t="shared" si="0"/>
        <v>3548.8</v>
      </c>
      <c r="F9" s="126">
        <f>C4</f>
        <v>18</v>
      </c>
      <c r="G9" s="46">
        <f t="shared" si="1"/>
        <v>197.15555555555557</v>
      </c>
      <c r="H9" s="32"/>
      <c r="I9" s="36">
        <f t="shared" ref="I9:I14" si="6">U9</f>
        <v>267.09197475202882</v>
      </c>
      <c r="J9" s="250">
        <f t="shared" si="2"/>
        <v>52658.666666666664</v>
      </c>
      <c r="K9" s="378"/>
      <c r="L9" s="59"/>
      <c r="M9" s="65">
        <v>2</v>
      </c>
      <c r="N9" s="83" t="s">
        <v>100</v>
      </c>
      <c r="O9" s="372">
        <f>10/86*R9</f>
        <v>10</v>
      </c>
      <c r="P9" s="373"/>
      <c r="Q9" s="30">
        <f t="shared" si="3"/>
        <v>17744</v>
      </c>
      <c r="R9" s="30">
        <f>O4</f>
        <v>86</v>
      </c>
      <c r="S9" s="46">
        <f>Q9/R9</f>
        <v>206.32558139534885</v>
      </c>
      <c r="T9" s="32"/>
      <c r="U9" s="36">
        <f>(364000)*1.302/1774.4/12*12</f>
        <v>267.09197475202882</v>
      </c>
      <c r="V9" s="250">
        <f>IFERROR(S9*U9,0)</f>
        <v>55107.906976744183</v>
      </c>
      <c r="W9" s="375"/>
      <c r="X9" s="23"/>
      <c r="Y9" s="65">
        <v>2</v>
      </c>
      <c r="Z9" s="83"/>
      <c r="AA9" s="372"/>
      <c r="AB9" s="373"/>
      <c r="AC9" s="30"/>
      <c r="AD9" s="30"/>
      <c r="AE9" s="46"/>
      <c r="AF9" s="32"/>
      <c r="AG9" s="36"/>
      <c r="AH9" s="250"/>
      <c r="AI9" s="378"/>
      <c r="AJ9" s="12">
        <f t="shared" ref="AJ9:AJ14" si="7">O9+C9</f>
        <v>12</v>
      </c>
      <c r="AK9" s="135">
        <f>V9*R9+J9*F9</f>
        <v>5687136</v>
      </c>
      <c r="AL9" s="274"/>
      <c r="AM9" s="183">
        <v>12</v>
      </c>
      <c r="AN9" s="199"/>
      <c r="AO9" s="24"/>
      <c r="AP9" s="24"/>
      <c r="AQ9" s="24"/>
      <c r="AR9" s="24"/>
      <c r="AS9" s="436" t="s">
        <v>52</v>
      </c>
      <c r="AT9" s="16"/>
      <c r="AU9" s="17"/>
      <c r="AX9" s="2" t="s">
        <v>81</v>
      </c>
      <c r="AY9" s="2">
        <f>ROUND(AX7/AY7,0)</f>
        <v>2808</v>
      </c>
    </row>
    <row r="10" spans="1:51" outlineLevel="1">
      <c r="A10" s="65">
        <f t="shared" si="4"/>
        <v>3</v>
      </c>
      <c r="B10" s="347" t="str">
        <f t="shared" si="5"/>
        <v>Музыкальный руководитель</v>
      </c>
      <c r="C10" s="372">
        <f>1.5/104*F10</f>
        <v>0.25961538461538464</v>
      </c>
      <c r="D10" s="373"/>
      <c r="E10" s="30">
        <f t="shared" si="0"/>
        <v>460.6615384615385</v>
      </c>
      <c r="F10" s="126">
        <f>C4</f>
        <v>18</v>
      </c>
      <c r="G10" s="46">
        <f t="shared" si="1"/>
        <v>25.592307692307696</v>
      </c>
      <c r="H10" s="32"/>
      <c r="I10" s="36">
        <f t="shared" si="6"/>
        <v>245.65711000901712</v>
      </c>
      <c r="J10" s="250">
        <f t="shared" si="2"/>
        <v>6286.932346153847</v>
      </c>
      <c r="K10" s="378"/>
      <c r="L10" s="59"/>
      <c r="M10" s="65">
        <v>3</v>
      </c>
      <c r="N10" s="83" t="s">
        <v>101</v>
      </c>
      <c r="O10" s="372">
        <f>1.5/104*R10</f>
        <v>1.2403846153846154</v>
      </c>
      <c r="P10" s="373"/>
      <c r="Q10" s="30">
        <f t="shared" si="3"/>
        <v>2200.9384615384615</v>
      </c>
      <c r="R10" s="30">
        <f>O4</f>
        <v>86</v>
      </c>
      <c r="S10" s="46">
        <f>Q10/R10</f>
        <v>25.592307692307692</v>
      </c>
      <c r="T10" s="32"/>
      <c r="U10" s="36">
        <f>(27899)*1.302/1774.4/1*12</f>
        <v>245.65711000901712</v>
      </c>
      <c r="V10" s="250">
        <f>IFERROR(S10*U10,0)</f>
        <v>6286.9323461538461</v>
      </c>
      <c r="W10" s="375"/>
      <c r="X10" s="23"/>
      <c r="Y10" s="65">
        <v>3</v>
      </c>
      <c r="Z10" s="83"/>
      <c r="AA10" s="372"/>
      <c r="AB10" s="373"/>
      <c r="AC10" s="30"/>
      <c r="AD10" s="30"/>
      <c r="AE10" s="46"/>
      <c r="AF10" s="32"/>
      <c r="AG10" s="36"/>
      <c r="AH10" s="250"/>
      <c r="AI10" s="378"/>
      <c r="AJ10" s="12">
        <f t="shared" si="7"/>
        <v>1.5</v>
      </c>
      <c r="AK10" s="135">
        <f t="shared" ref="AK10:AK14" si="8">V10*R10+J10*F10</f>
        <v>653840.96400000004</v>
      </c>
      <c r="AL10" s="274"/>
      <c r="AM10" s="183">
        <v>1.5</v>
      </c>
      <c r="AN10" s="183"/>
      <c r="AO10" s="24"/>
      <c r="AP10" s="24"/>
      <c r="AQ10" s="24"/>
      <c r="AR10" s="24"/>
      <c r="AS10" s="436"/>
      <c r="AT10" s="16"/>
      <c r="AU10" s="17"/>
      <c r="AY10" s="2">
        <f>AY9*79</f>
        <v>221832</v>
      </c>
    </row>
    <row r="11" spans="1:51" outlineLevel="1">
      <c r="A11" s="65">
        <f t="shared" si="4"/>
        <v>4</v>
      </c>
      <c r="B11" s="347" t="str">
        <f t="shared" si="5"/>
        <v>Педагог-психолог</v>
      </c>
      <c r="C11" s="372">
        <f>0.5/104*F11</f>
        <v>8.6538461538461536E-2</v>
      </c>
      <c r="D11" s="373"/>
      <c r="E11" s="30">
        <f t="shared" si="0"/>
        <v>153.55384615384617</v>
      </c>
      <c r="F11" s="126">
        <f>C4</f>
        <v>18</v>
      </c>
      <c r="G11" s="46">
        <f t="shared" si="1"/>
        <v>8.5307692307692307</v>
      </c>
      <c r="H11" s="32"/>
      <c r="I11" s="36">
        <f t="shared" si="6"/>
        <v>245.65711000901712</v>
      </c>
      <c r="J11" s="250">
        <f t="shared" si="2"/>
        <v>2095.6441153846154</v>
      </c>
      <c r="K11" s="378"/>
      <c r="L11" s="59"/>
      <c r="M11" s="65">
        <v>4</v>
      </c>
      <c r="N11" s="105" t="s">
        <v>159</v>
      </c>
      <c r="O11" s="372">
        <f>0.5/104*R11</f>
        <v>0.41346153846153849</v>
      </c>
      <c r="P11" s="373"/>
      <c r="Q11" s="30">
        <f t="shared" si="3"/>
        <v>733.64615384615399</v>
      </c>
      <c r="R11" s="30">
        <f>O4</f>
        <v>86</v>
      </c>
      <c r="S11" s="46">
        <f t="shared" ref="S11:S13" si="9">Q11/R11</f>
        <v>8.5307692307692324</v>
      </c>
      <c r="T11" s="32"/>
      <c r="U11" s="36">
        <f>(27899)*1.302/1774.4*12</f>
        <v>245.65711000901712</v>
      </c>
      <c r="V11" s="250">
        <f t="shared" ref="V11:V12" si="10">IFERROR(S11*U11,0)</f>
        <v>2095.6441153846158</v>
      </c>
      <c r="W11" s="375"/>
      <c r="X11" s="23"/>
      <c r="Y11" s="65">
        <v>4</v>
      </c>
      <c r="Z11" s="83"/>
      <c r="AA11" s="372"/>
      <c r="AB11" s="373"/>
      <c r="AC11" s="30"/>
      <c r="AD11" s="30"/>
      <c r="AE11" s="46"/>
      <c r="AF11" s="32"/>
      <c r="AG11" s="36"/>
      <c r="AH11" s="250"/>
      <c r="AI11" s="378"/>
      <c r="AJ11" s="12">
        <f t="shared" si="7"/>
        <v>0.5</v>
      </c>
      <c r="AK11" s="135">
        <f t="shared" si="8"/>
        <v>217946.98800000001</v>
      </c>
      <c r="AL11" s="361">
        <f>AM83</f>
        <v>0</v>
      </c>
      <c r="AM11" s="183">
        <v>0.5</v>
      </c>
      <c r="AN11" s="183"/>
      <c r="AO11" s="24"/>
      <c r="AP11" s="24"/>
      <c r="AQ11" s="24"/>
      <c r="AR11" s="24"/>
      <c r="AS11" s="436"/>
    </row>
    <row r="12" spans="1:51" outlineLevel="1">
      <c r="A12" s="65">
        <f t="shared" si="4"/>
        <v>5</v>
      </c>
      <c r="B12" s="347" t="str">
        <f t="shared" si="5"/>
        <v>Учитель-логопед</v>
      </c>
      <c r="C12" s="372">
        <f>1/104*F12</f>
        <v>0.17307692307692307</v>
      </c>
      <c r="D12" s="373"/>
      <c r="E12" s="30">
        <f t="shared" si="0"/>
        <v>307.10769230769233</v>
      </c>
      <c r="F12" s="126">
        <f>C4</f>
        <v>18</v>
      </c>
      <c r="G12" s="46">
        <f t="shared" si="1"/>
        <v>17.061538461538461</v>
      </c>
      <c r="H12" s="32"/>
      <c r="I12" s="36">
        <f t="shared" si="6"/>
        <v>245.65711000901712</v>
      </c>
      <c r="J12" s="250">
        <f t="shared" si="2"/>
        <v>4191.2882307692307</v>
      </c>
      <c r="K12" s="378"/>
      <c r="L12" s="59"/>
      <c r="M12" s="65">
        <v>5</v>
      </c>
      <c r="N12" s="83" t="s">
        <v>104</v>
      </c>
      <c r="O12" s="372">
        <f>1/104*R12</f>
        <v>0.82692307692307698</v>
      </c>
      <c r="P12" s="373"/>
      <c r="Q12" s="30">
        <f t="shared" si="3"/>
        <v>1467.292307692308</v>
      </c>
      <c r="R12" s="30">
        <f>O4</f>
        <v>86</v>
      </c>
      <c r="S12" s="46">
        <f t="shared" si="9"/>
        <v>17.061538461538465</v>
      </c>
      <c r="T12" s="32"/>
      <c r="U12" s="36">
        <f>(27899)*1.302/1774.4*12</f>
        <v>245.65711000901712</v>
      </c>
      <c r="V12" s="250">
        <f t="shared" si="10"/>
        <v>4191.2882307692316</v>
      </c>
      <c r="W12" s="375"/>
      <c r="X12" s="23"/>
      <c r="Y12" s="65">
        <v>5</v>
      </c>
      <c r="Z12" s="83"/>
      <c r="AA12" s="372"/>
      <c r="AB12" s="373"/>
      <c r="AC12" s="30"/>
      <c r="AD12" s="30"/>
      <c r="AE12" s="46"/>
      <c r="AF12" s="32"/>
      <c r="AG12" s="36"/>
      <c r="AH12" s="250"/>
      <c r="AI12" s="378"/>
      <c r="AJ12" s="12">
        <f t="shared" si="7"/>
        <v>1</v>
      </c>
      <c r="AK12" s="135">
        <f t="shared" si="8"/>
        <v>435893.97600000002</v>
      </c>
      <c r="AL12" s="274"/>
      <c r="AM12" s="183">
        <v>1</v>
      </c>
      <c r="AN12" s="183"/>
      <c r="AO12" s="24"/>
      <c r="AP12" s="24"/>
      <c r="AQ12" s="24"/>
      <c r="AR12" s="24"/>
      <c r="AS12" s="436"/>
    </row>
    <row r="13" spans="1:51" outlineLevel="1">
      <c r="A13" s="65">
        <f t="shared" si="4"/>
        <v>6</v>
      </c>
      <c r="B13" s="347" t="str">
        <f t="shared" si="5"/>
        <v>Учитель-дефектолог</v>
      </c>
      <c r="C13" s="372">
        <v>0</v>
      </c>
      <c r="D13" s="373"/>
      <c r="E13" s="30">
        <f t="shared" si="0"/>
        <v>0</v>
      </c>
      <c r="F13" s="126">
        <f>F12</f>
        <v>18</v>
      </c>
      <c r="G13" s="46">
        <f t="shared" si="1"/>
        <v>0</v>
      </c>
      <c r="H13" s="32"/>
      <c r="I13" s="36">
        <f t="shared" ref="I13" si="11">U13</f>
        <v>245.65711000901712</v>
      </c>
      <c r="J13" s="250">
        <f t="shared" ref="J13" si="12">IFERROR(G13*I13,0)</f>
        <v>0</v>
      </c>
      <c r="K13" s="378"/>
      <c r="L13" s="59"/>
      <c r="M13" s="65">
        <v>6</v>
      </c>
      <c r="N13" s="105" t="s">
        <v>224</v>
      </c>
      <c r="O13" s="372">
        <v>0</v>
      </c>
      <c r="P13" s="373"/>
      <c r="Q13" s="30">
        <f t="shared" si="3"/>
        <v>0</v>
      </c>
      <c r="R13" s="30">
        <f>O4</f>
        <v>86</v>
      </c>
      <c r="S13" s="46">
        <f t="shared" si="9"/>
        <v>0</v>
      </c>
      <c r="T13" s="32"/>
      <c r="U13" s="36">
        <f>(27899)*1.302/1774.4*12</f>
        <v>245.65711000901712</v>
      </c>
      <c r="V13" s="250">
        <f t="shared" ref="V13" si="13">IFERROR(S13*U13,0)</f>
        <v>0</v>
      </c>
      <c r="W13" s="375"/>
      <c r="X13" s="23"/>
      <c r="Y13" s="65">
        <v>6</v>
      </c>
      <c r="Z13" s="83"/>
      <c r="AA13" s="372"/>
      <c r="AB13" s="373"/>
      <c r="AC13" s="30"/>
      <c r="AD13" s="30"/>
      <c r="AE13" s="46"/>
      <c r="AF13" s="32"/>
      <c r="AG13" s="36"/>
      <c r="AH13" s="250"/>
      <c r="AI13" s="378"/>
      <c r="AJ13" s="12">
        <f t="shared" ref="AJ13" si="14">O13+C13</f>
        <v>0</v>
      </c>
      <c r="AK13" s="135">
        <f t="shared" ref="AK13" si="15">V13*R13+J13*F13</f>
        <v>0</v>
      </c>
      <c r="AL13" s="274"/>
      <c r="AM13" s="183">
        <v>0</v>
      </c>
      <c r="AN13" s="183"/>
      <c r="AO13" s="24"/>
      <c r="AP13" s="24"/>
      <c r="AQ13" s="24"/>
      <c r="AR13" s="24"/>
      <c r="AS13" s="436"/>
    </row>
    <row r="14" spans="1:51" ht="30" outlineLevel="1">
      <c r="A14" s="65">
        <f t="shared" si="4"/>
        <v>7</v>
      </c>
      <c r="B14" s="347" t="str">
        <f t="shared" si="5"/>
        <v>Инструктор по физической культуре</v>
      </c>
      <c r="C14" s="372">
        <f>0.5/104*F14</f>
        <v>8.6538461538461536E-2</v>
      </c>
      <c r="D14" s="373"/>
      <c r="E14" s="30">
        <f t="shared" si="0"/>
        <v>153.55384615384617</v>
      </c>
      <c r="F14" s="126">
        <f>C4</f>
        <v>18</v>
      </c>
      <c r="G14" s="46">
        <f t="shared" si="1"/>
        <v>8.5307692307692307</v>
      </c>
      <c r="H14" s="32"/>
      <c r="I14" s="36">
        <f t="shared" si="6"/>
        <v>245.65711000901712</v>
      </c>
      <c r="J14" s="250">
        <f t="shared" si="2"/>
        <v>2095.6441153846154</v>
      </c>
      <c r="K14" s="378"/>
      <c r="L14" s="168"/>
      <c r="M14" s="65">
        <v>7</v>
      </c>
      <c r="N14" s="83" t="s">
        <v>105</v>
      </c>
      <c r="O14" s="372">
        <f>0.5/104*R14</f>
        <v>0.41346153846153849</v>
      </c>
      <c r="P14" s="373"/>
      <c r="Q14" s="30">
        <f t="shared" si="3"/>
        <v>733.64615384615399</v>
      </c>
      <c r="R14" s="30">
        <f>O4</f>
        <v>86</v>
      </c>
      <c r="S14" s="46">
        <f>Q14/R14</f>
        <v>8.5307692307692324</v>
      </c>
      <c r="T14" s="32"/>
      <c r="U14" s="36">
        <f>(27899)*1.302/1774.4*12</f>
        <v>245.65711000901712</v>
      </c>
      <c r="V14" s="250">
        <f>IFERROR(S14*U14,0)</f>
        <v>2095.6441153846158</v>
      </c>
      <c r="W14" s="375"/>
      <c r="X14" s="182"/>
      <c r="Y14" s="65">
        <v>7</v>
      </c>
      <c r="Z14" s="83"/>
      <c r="AA14" s="372"/>
      <c r="AB14" s="373"/>
      <c r="AC14" s="30"/>
      <c r="AD14" s="30"/>
      <c r="AE14" s="46"/>
      <c r="AF14" s="32"/>
      <c r="AG14" s="36"/>
      <c r="AH14" s="250"/>
      <c r="AI14" s="379"/>
      <c r="AJ14" s="12">
        <f t="shared" si="7"/>
        <v>0.5</v>
      </c>
      <c r="AK14" s="135">
        <f t="shared" si="8"/>
        <v>217946.98800000001</v>
      </c>
      <c r="AL14" s="274"/>
      <c r="AM14" s="183">
        <v>0.5</v>
      </c>
      <c r="AN14" s="183"/>
      <c r="AO14" s="24"/>
      <c r="AP14" s="24"/>
      <c r="AQ14" s="24"/>
      <c r="AR14" s="24"/>
      <c r="AS14" s="436"/>
    </row>
    <row r="15" spans="1:51" outlineLevel="1">
      <c r="A15" s="427" t="s">
        <v>40</v>
      </c>
      <c r="B15" s="427"/>
      <c r="C15" s="427"/>
      <c r="D15" s="427"/>
      <c r="E15" s="427"/>
      <c r="F15" s="427"/>
      <c r="G15" s="427"/>
      <c r="H15" s="427"/>
      <c r="I15" s="427"/>
      <c r="J15" s="251">
        <f>SUM(J8:J14)</f>
        <v>72579.378205128189</v>
      </c>
      <c r="K15" s="379"/>
      <c r="L15" s="59"/>
      <c r="M15" s="437" t="s">
        <v>40</v>
      </c>
      <c r="N15" s="427"/>
      <c r="O15" s="427"/>
      <c r="P15" s="427"/>
      <c r="Q15" s="427"/>
      <c r="R15" s="427"/>
      <c r="S15" s="427"/>
      <c r="T15" s="427"/>
      <c r="U15" s="427"/>
      <c r="V15" s="251">
        <f>SUM(V8:V14)</f>
        <v>75028.618515205715</v>
      </c>
      <c r="W15" s="376"/>
      <c r="X15" s="23"/>
      <c r="Y15" s="427" t="s">
        <v>40</v>
      </c>
      <c r="Z15" s="427"/>
      <c r="AA15" s="427"/>
      <c r="AB15" s="427"/>
      <c r="AC15" s="427"/>
      <c r="AD15" s="427"/>
      <c r="AE15" s="427"/>
      <c r="AF15" s="427"/>
      <c r="AG15" s="427"/>
      <c r="AH15" s="251">
        <f>SUM(AH8:AH14)</f>
        <v>38332.107884615478</v>
      </c>
      <c r="AI15" s="66"/>
      <c r="AJ15" s="12">
        <f>AH15*AD8+V15*R8+J15*F8</f>
        <v>11745429.220000008</v>
      </c>
      <c r="AK15" s="148">
        <f>AK8+AK9+AK10+AK11+AK12+AK13+AK14</f>
        <v>7758889.9999999991</v>
      </c>
      <c r="AL15" s="275">
        <f>AF143</f>
        <v>7758890</v>
      </c>
      <c r="AM15" s="189">
        <f>AL15-AK15</f>
        <v>0</v>
      </c>
      <c r="AN15" s="184"/>
      <c r="AO15" s="24"/>
      <c r="AP15" s="24"/>
      <c r="AQ15" s="24"/>
      <c r="AR15" s="24"/>
      <c r="AS15" s="436"/>
    </row>
    <row r="16" spans="1:51" s="34" customFormat="1" outlineLevel="1">
      <c r="A16" s="386"/>
      <c r="B16" s="387"/>
      <c r="C16" s="387"/>
      <c r="D16" s="387"/>
      <c r="E16" s="387"/>
      <c r="F16" s="387"/>
      <c r="G16" s="387"/>
      <c r="H16" s="387"/>
      <c r="I16" s="387"/>
      <c r="J16" s="387"/>
      <c r="K16" s="388"/>
      <c r="L16" s="60"/>
      <c r="M16" s="67"/>
      <c r="N16" s="33"/>
      <c r="O16" s="33"/>
      <c r="P16" s="33"/>
      <c r="Q16" s="33"/>
      <c r="R16" s="33"/>
      <c r="S16" s="33"/>
      <c r="T16" s="33"/>
      <c r="U16" s="33"/>
      <c r="V16" s="262"/>
      <c r="W16" s="362">
        <f>AK45</f>
        <v>0</v>
      </c>
      <c r="X16" s="25"/>
      <c r="Y16" s="67"/>
      <c r="Z16" s="33"/>
      <c r="AA16" s="33"/>
      <c r="AB16" s="33"/>
      <c r="AC16" s="33"/>
      <c r="AD16" s="33"/>
      <c r="AE16" s="33"/>
      <c r="AF16" s="33"/>
      <c r="AG16" s="33"/>
      <c r="AH16" s="262"/>
      <c r="AI16" s="68"/>
      <c r="AJ16" s="129">
        <f>AJ15-AK16</f>
        <v>0</v>
      </c>
      <c r="AK16" s="137">
        <f>AL8+AK15</f>
        <v>11745429.220000008</v>
      </c>
      <c r="AL16" s="136"/>
      <c r="AM16" s="185"/>
      <c r="AN16" s="185"/>
      <c r="AO16" s="191"/>
      <c r="AP16" s="191"/>
      <c r="AQ16" s="191"/>
      <c r="AR16" s="191"/>
    </row>
    <row r="17" spans="1:48" s="6" customFormat="1" ht="78.75">
      <c r="A17" s="90" t="s">
        <v>1</v>
      </c>
      <c r="B17" s="91" t="s">
        <v>3</v>
      </c>
      <c r="C17" s="420"/>
      <c r="D17" s="421"/>
      <c r="E17" s="91" t="s">
        <v>58</v>
      </c>
      <c r="F17" s="91" t="s">
        <v>2</v>
      </c>
      <c r="G17" s="88" t="s">
        <v>53</v>
      </c>
      <c r="H17" s="88" t="s">
        <v>68</v>
      </c>
      <c r="I17" s="88" t="s">
        <v>69</v>
      </c>
      <c r="J17" s="249" t="s">
        <v>5</v>
      </c>
      <c r="K17" s="89" t="s">
        <v>0</v>
      </c>
      <c r="L17" s="57"/>
      <c r="M17" s="90" t="s">
        <v>1</v>
      </c>
      <c r="N17" s="91" t="s">
        <v>3</v>
      </c>
      <c r="O17" s="420"/>
      <c r="P17" s="421"/>
      <c r="Q17" s="91" t="s">
        <v>58</v>
      </c>
      <c r="R17" s="91" t="s">
        <v>2</v>
      </c>
      <c r="S17" s="88" t="s">
        <v>53</v>
      </c>
      <c r="T17" s="88" t="s">
        <v>68</v>
      </c>
      <c r="U17" s="88" t="s">
        <v>69</v>
      </c>
      <c r="V17" s="249" t="s">
        <v>5</v>
      </c>
      <c r="W17" s="89" t="s">
        <v>0</v>
      </c>
      <c r="X17" s="72"/>
      <c r="Y17" s="90" t="s">
        <v>1</v>
      </c>
      <c r="Z17" s="91" t="s">
        <v>3</v>
      </c>
      <c r="AA17" s="420"/>
      <c r="AB17" s="421"/>
      <c r="AC17" s="91" t="s">
        <v>58</v>
      </c>
      <c r="AD17" s="91" t="s">
        <v>2</v>
      </c>
      <c r="AE17" s="88" t="s">
        <v>53</v>
      </c>
      <c r="AF17" s="88" t="s">
        <v>68</v>
      </c>
      <c r="AG17" s="88" t="s">
        <v>69</v>
      </c>
      <c r="AH17" s="249" t="s">
        <v>5</v>
      </c>
      <c r="AI17" s="89" t="s">
        <v>0</v>
      </c>
      <c r="AJ17" s="72"/>
      <c r="AK17" s="200"/>
      <c r="AL17" s="200"/>
      <c r="AM17" s="74"/>
      <c r="AN17" s="204"/>
      <c r="AO17" s="196"/>
      <c r="AP17" s="197"/>
      <c r="AQ17" s="197"/>
      <c r="AR17" s="197"/>
    </row>
    <row r="18" spans="1:48">
      <c r="A18" s="87">
        <v>1</v>
      </c>
      <c r="B18" s="88">
        <v>2</v>
      </c>
      <c r="C18" s="422"/>
      <c r="D18" s="423"/>
      <c r="E18" s="88">
        <v>3</v>
      </c>
      <c r="F18" s="88">
        <v>4</v>
      </c>
      <c r="G18" s="88" t="s">
        <v>71</v>
      </c>
      <c r="H18" s="88">
        <v>6</v>
      </c>
      <c r="I18" s="88">
        <v>7</v>
      </c>
      <c r="J18" s="249" t="s">
        <v>55</v>
      </c>
      <c r="K18" s="89">
        <v>9</v>
      </c>
      <c r="L18" s="57"/>
      <c r="M18" s="87">
        <v>1</v>
      </c>
      <c r="N18" s="88">
        <v>2</v>
      </c>
      <c r="O18" s="422"/>
      <c r="P18" s="423"/>
      <c r="Q18" s="88">
        <v>3</v>
      </c>
      <c r="R18" s="88">
        <v>4</v>
      </c>
      <c r="S18" s="88" t="s">
        <v>71</v>
      </c>
      <c r="T18" s="88">
        <v>6</v>
      </c>
      <c r="U18" s="88">
        <v>7</v>
      </c>
      <c r="V18" s="249" t="s">
        <v>55</v>
      </c>
      <c r="W18" s="89">
        <v>9</v>
      </c>
      <c r="X18" s="72"/>
      <c r="Y18" s="87">
        <v>1</v>
      </c>
      <c r="Z18" s="88">
        <v>2</v>
      </c>
      <c r="AA18" s="422"/>
      <c r="AB18" s="423"/>
      <c r="AC18" s="88">
        <v>3</v>
      </c>
      <c r="AD18" s="88">
        <v>4</v>
      </c>
      <c r="AE18" s="88" t="s">
        <v>71</v>
      </c>
      <c r="AF18" s="88">
        <v>6</v>
      </c>
      <c r="AG18" s="88">
        <v>7</v>
      </c>
      <c r="AH18" s="249" t="s">
        <v>55</v>
      </c>
      <c r="AI18" s="89">
        <v>9</v>
      </c>
      <c r="AJ18" s="72"/>
      <c r="AK18" s="200"/>
      <c r="AL18" s="200"/>
      <c r="AM18" s="72"/>
      <c r="AN18" s="72"/>
      <c r="AO18" s="26"/>
      <c r="AP18" s="26"/>
      <c r="AQ18" s="26"/>
      <c r="AR18" s="26"/>
    </row>
    <row r="19" spans="1:48" ht="19.5">
      <c r="A19" s="424" t="s">
        <v>6</v>
      </c>
      <c r="B19" s="425"/>
      <c r="C19" s="425"/>
      <c r="D19" s="425"/>
      <c r="E19" s="425"/>
      <c r="F19" s="425"/>
      <c r="G19" s="425"/>
      <c r="H19" s="425"/>
      <c r="I19" s="425"/>
      <c r="J19" s="425"/>
      <c r="K19" s="426"/>
      <c r="L19" s="58"/>
      <c r="M19" s="424" t="s">
        <v>6</v>
      </c>
      <c r="N19" s="425"/>
      <c r="O19" s="425"/>
      <c r="P19" s="425"/>
      <c r="Q19" s="425"/>
      <c r="R19" s="425"/>
      <c r="S19" s="425"/>
      <c r="T19" s="425"/>
      <c r="U19" s="425"/>
      <c r="V19" s="425"/>
      <c r="W19" s="426"/>
      <c r="X19" s="73"/>
      <c r="Y19" s="424" t="s">
        <v>6</v>
      </c>
      <c r="Z19" s="425"/>
      <c r="AA19" s="425"/>
      <c r="AB19" s="425"/>
      <c r="AC19" s="425"/>
      <c r="AD19" s="425"/>
      <c r="AE19" s="425"/>
      <c r="AF19" s="425"/>
      <c r="AG19" s="425"/>
      <c r="AH19" s="425"/>
      <c r="AI19" s="426"/>
      <c r="AJ19" s="73" t="s">
        <v>207</v>
      </c>
      <c r="AK19" s="202">
        <v>7588</v>
      </c>
      <c r="AL19" s="272">
        <v>7408</v>
      </c>
      <c r="AM19" s="73" t="s">
        <v>207</v>
      </c>
      <c r="AN19" s="73"/>
      <c r="AO19" s="26"/>
      <c r="AP19" s="26"/>
      <c r="AQ19" s="26"/>
      <c r="AR19" s="26"/>
      <c r="AS19" s="26"/>
      <c r="AT19" s="26"/>
      <c r="AU19" s="26"/>
      <c r="AV19" s="26"/>
    </row>
    <row r="20" spans="1:48" s="179" customFormat="1" outlineLevel="2">
      <c r="A20" s="169">
        <v>1</v>
      </c>
      <c r="B20" s="145" t="str">
        <f>N20</f>
        <v>Машинки</v>
      </c>
      <c r="C20" s="413" t="str">
        <f>O20</f>
        <v>шт</v>
      </c>
      <c r="D20" s="414"/>
      <c r="E20" s="170">
        <f>4/104*F20</f>
        <v>0.69230769230769229</v>
      </c>
      <c r="F20" s="171">
        <f>F9</f>
        <v>18</v>
      </c>
      <c r="G20" s="172">
        <f>E20/F20</f>
        <v>3.8461538461538464E-2</v>
      </c>
      <c r="H20" s="173">
        <v>1</v>
      </c>
      <c r="I20" s="174">
        <f>U20</f>
        <v>300</v>
      </c>
      <c r="J20" s="252">
        <f>IFERROR(G20*I20/H20,0)</f>
        <v>11.538461538461538</v>
      </c>
      <c r="K20" s="432" t="s">
        <v>54</v>
      </c>
      <c r="L20" s="175"/>
      <c r="M20" s="169">
        <v>1</v>
      </c>
      <c r="N20" s="203" t="s">
        <v>160</v>
      </c>
      <c r="O20" s="413" t="s">
        <v>142</v>
      </c>
      <c r="P20" s="414"/>
      <c r="Q20" s="170">
        <f>4/104*R20</f>
        <v>3.3076923076923079</v>
      </c>
      <c r="R20" s="171">
        <f>R9</f>
        <v>86</v>
      </c>
      <c r="S20" s="172">
        <f>Q20/R20</f>
        <v>3.8461538461538464E-2</v>
      </c>
      <c r="T20" s="173">
        <v>1</v>
      </c>
      <c r="U20" s="174">
        <v>300</v>
      </c>
      <c r="V20" s="252">
        <f>IFERROR(S20*U20/T20,0)</f>
        <v>11.538461538461538</v>
      </c>
      <c r="W20" s="432" t="s">
        <v>54</v>
      </c>
      <c r="X20" s="176"/>
      <c r="Y20" s="169">
        <v>1</v>
      </c>
      <c r="Z20" s="145" t="s">
        <v>128</v>
      </c>
      <c r="AA20" s="413" t="s">
        <v>142</v>
      </c>
      <c r="AB20" s="414"/>
      <c r="AC20" s="170">
        <v>86</v>
      </c>
      <c r="AD20" s="171">
        <f>AD8</f>
        <v>104</v>
      </c>
      <c r="AE20" s="172">
        <f>AC20/AD20</f>
        <v>0.82692307692307687</v>
      </c>
      <c r="AF20" s="177">
        <v>1</v>
      </c>
      <c r="AG20" s="178">
        <v>90</v>
      </c>
      <c r="AH20" s="252">
        <f t="shared" ref="AH20:AH42" si="16">IFERROR(AE20*AG20/AF20,0)</f>
        <v>74.42307692307692</v>
      </c>
      <c r="AI20" s="432" t="s">
        <v>54</v>
      </c>
      <c r="AJ20" s="205">
        <f>E20+Q20</f>
        <v>4</v>
      </c>
      <c r="AK20" s="206">
        <f>V20*R20+J20*F20</f>
        <v>1200</v>
      </c>
      <c r="AL20" s="216">
        <f>AH20*AD20</f>
        <v>7740</v>
      </c>
      <c r="AM20" s="176">
        <f>AC20</f>
        <v>86</v>
      </c>
      <c r="AN20" s="176"/>
      <c r="AO20" s="208"/>
      <c r="AP20" s="208"/>
      <c r="AQ20" s="208"/>
      <c r="AR20" s="208"/>
      <c r="AS20" s="208"/>
      <c r="AT20" s="208"/>
      <c r="AU20" s="208"/>
      <c r="AV20" s="208"/>
    </row>
    <row r="21" spans="1:48" s="179" customFormat="1" ht="30" outlineLevel="2">
      <c r="A21" s="169">
        <v>2</v>
      </c>
      <c r="B21" s="145" t="str">
        <f t="shared" ref="B21:B42" si="17">N21</f>
        <v xml:space="preserve">Куклы </v>
      </c>
      <c r="C21" s="413" t="str">
        <f t="shared" ref="C21:C33" si="18">O21</f>
        <v>шт</v>
      </c>
      <c r="D21" s="414"/>
      <c r="E21" s="170">
        <f>4/104*F21</f>
        <v>0.69230769230769229</v>
      </c>
      <c r="F21" s="171">
        <f>F9</f>
        <v>18</v>
      </c>
      <c r="G21" s="172">
        <f t="shared" ref="G21:G32" si="19">E21/F21</f>
        <v>3.8461538461538464E-2</v>
      </c>
      <c r="H21" s="173">
        <v>1</v>
      </c>
      <c r="I21" s="174">
        <f t="shared" ref="I21:I33" si="20">U21</f>
        <v>300</v>
      </c>
      <c r="J21" s="252">
        <f t="shared" ref="J21:J33" si="21">IFERROR(G21*I21/H21,0)</f>
        <v>11.538461538461538</v>
      </c>
      <c r="K21" s="433"/>
      <c r="L21" s="175"/>
      <c r="M21" s="169">
        <v>2</v>
      </c>
      <c r="N21" s="145" t="s">
        <v>114</v>
      </c>
      <c r="O21" s="413" t="s">
        <v>142</v>
      </c>
      <c r="P21" s="414"/>
      <c r="Q21" s="170">
        <f>4/104*R21</f>
        <v>3.3076923076923079</v>
      </c>
      <c r="R21" s="171">
        <f>R9</f>
        <v>86</v>
      </c>
      <c r="S21" s="172">
        <f t="shared" ref="S21:S31" si="22">Q21/R21</f>
        <v>3.8461538461538464E-2</v>
      </c>
      <c r="T21" s="173">
        <v>1</v>
      </c>
      <c r="U21" s="174">
        <v>300</v>
      </c>
      <c r="V21" s="252">
        <f t="shared" ref="V21:V31" si="23">IFERROR(S21*U21/T21,0)</f>
        <v>11.538461538461538</v>
      </c>
      <c r="W21" s="433"/>
      <c r="X21" s="176"/>
      <c r="Y21" s="169">
        <v>2</v>
      </c>
      <c r="Z21" s="145" t="s">
        <v>167</v>
      </c>
      <c r="AA21" s="413" t="s">
        <v>142</v>
      </c>
      <c r="AB21" s="414"/>
      <c r="AC21" s="170">
        <v>86</v>
      </c>
      <c r="AD21" s="171">
        <f>AD8</f>
        <v>104</v>
      </c>
      <c r="AE21" s="172">
        <f t="shared" ref="AE21:AE34" si="24">AC21/AD21</f>
        <v>0.82692307692307687</v>
      </c>
      <c r="AF21" s="177">
        <v>1</v>
      </c>
      <c r="AG21" s="178">
        <v>90</v>
      </c>
      <c r="AH21" s="252">
        <f t="shared" si="16"/>
        <v>74.42307692307692</v>
      </c>
      <c r="AI21" s="433"/>
      <c r="AJ21" s="205">
        <f t="shared" ref="AJ21:AJ42" si="25">E21+Q21</f>
        <v>4</v>
      </c>
      <c r="AK21" s="206">
        <f t="shared" ref="AK21:AK42" si="26">V21*R21+J21*F21</f>
        <v>1200</v>
      </c>
      <c r="AL21" s="216">
        <f t="shared" ref="AL21:AL42" si="27">AH21*AD21</f>
        <v>7740</v>
      </c>
      <c r="AM21" s="176">
        <f t="shared" ref="AM21:AM42" si="28">AC21</f>
        <v>86</v>
      </c>
      <c r="AN21" s="176"/>
      <c r="AO21" s="208"/>
      <c r="AP21" s="208"/>
      <c r="AQ21" s="208"/>
      <c r="AR21" s="208"/>
      <c r="AS21" s="208"/>
      <c r="AT21" s="208"/>
      <c r="AU21" s="208"/>
      <c r="AV21" s="208"/>
    </row>
    <row r="22" spans="1:48" s="179" customFormat="1" outlineLevel="2">
      <c r="A22" s="169">
        <v>3</v>
      </c>
      <c r="B22" s="145" t="str">
        <f t="shared" si="17"/>
        <v>Коляски кукольные</v>
      </c>
      <c r="C22" s="413" t="str">
        <f t="shared" si="18"/>
        <v>шт</v>
      </c>
      <c r="D22" s="414"/>
      <c r="E22" s="170">
        <f>4/104*F22</f>
        <v>0.69230769230769229</v>
      </c>
      <c r="F22" s="171">
        <f>F9</f>
        <v>18</v>
      </c>
      <c r="G22" s="172">
        <f t="shared" si="19"/>
        <v>3.8461538461538464E-2</v>
      </c>
      <c r="H22" s="173">
        <v>1</v>
      </c>
      <c r="I22" s="174">
        <f t="shared" si="20"/>
        <v>500</v>
      </c>
      <c r="J22" s="252">
        <f>IFERROR(G22*I22/H22,0)</f>
        <v>19.230769230769234</v>
      </c>
      <c r="K22" s="433"/>
      <c r="L22" s="175"/>
      <c r="M22" s="169">
        <v>3</v>
      </c>
      <c r="N22" s="145" t="s">
        <v>109</v>
      </c>
      <c r="O22" s="413" t="s">
        <v>142</v>
      </c>
      <c r="P22" s="414"/>
      <c r="Q22" s="170">
        <f>4/104*R22</f>
        <v>3.3076923076923079</v>
      </c>
      <c r="R22" s="171">
        <f>R9</f>
        <v>86</v>
      </c>
      <c r="S22" s="172">
        <f t="shared" si="22"/>
        <v>3.8461538461538464E-2</v>
      </c>
      <c r="T22" s="173">
        <v>1</v>
      </c>
      <c r="U22" s="174">
        <v>500</v>
      </c>
      <c r="V22" s="252">
        <f t="shared" si="23"/>
        <v>19.230769230769234</v>
      </c>
      <c r="W22" s="433"/>
      <c r="X22" s="176"/>
      <c r="Y22" s="169">
        <v>3</v>
      </c>
      <c r="Z22" s="145" t="s">
        <v>129</v>
      </c>
      <c r="AA22" s="413" t="s">
        <v>142</v>
      </c>
      <c r="AB22" s="414"/>
      <c r="AC22" s="170">
        <v>2</v>
      </c>
      <c r="AD22" s="171">
        <f>AD8</f>
        <v>104</v>
      </c>
      <c r="AE22" s="172">
        <f t="shared" si="24"/>
        <v>1.9230769230769232E-2</v>
      </c>
      <c r="AF22" s="177">
        <v>1</v>
      </c>
      <c r="AG22" s="178">
        <v>300</v>
      </c>
      <c r="AH22" s="252">
        <f t="shared" si="16"/>
        <v>5.7692307692307692</v>
      </c>
      <c r="AI22" s="433"/>
      <c r="AJ22" s="205">
        <f t="shared" si="25"/>
        <v>4</v>
      </c>
      <c r="AK22" s="206">
        <f t="shared" si="26"/>
        <v>2000.0000000000002</v>
      </c>
      <c r="AL22" s="216">
        <f t="shared" si="27"/>
        <v>600</v>
      </c>
      <c r="AM22" s="176">
        <f t="shared" si="28"/>
        <v>2</v>
      </c>
      <c r="AN22" s="176"/>
      <c r="AO22" s="208"/>
      <c r="AP22" s="208"/>
      <c r="AQ22" s="208"/>
      <c r="AR22" s="208"/>
      <c r="AS22" s="208"/>
      <c r="AT22" s="208"/>
      <c r="AU22" s="208"/>
      <c r="AV22" s="208"/>
    </row>
    <row r="23" spans="1:48" s="179" customFormat="1" outlineLevel="2">
      <c r="A23" s="169">
        <v>4</v>
      </c>
      <c r="B23" s="145" t="str">
        <f t="shared" si="17"/>
        <v xml:space="preserve">Мячи в ассортименте </v>
      </c>
      <c r="C23" s="413" t="str">
        <f t="shared" si="18"/>
        <v>шт</v>
      </c>
      <c r="D23" s="414"/>
      <c r="E23" s="170">
        <f>5/104*F23</f>
        <v>0.86538461538461542</v>
      </c>
      <c r="F23" s="171">
        <f>F9</f>
        <v>18</v>
      </c>
      <c r="G23" s="172">
        <f t="shared" si="19"/>
        <v>4.807692307692308E-2</v>
      </c>
      <c r="H23" s="173">
        <v>1</v>
      </c>
      <c r="I23" s="174">
        <f t="shared" si="20"/>
        <v>65</v>
      </c>
      <c r="J23" s="252">
        <f t="shared" si="21"/>
        <v>3.125</v>
      </c>
      <c r="K23" s="433"/>
      <c r="L23" s="180"/>
      <c r="M23" s="169">
        <v>4</v>
      </c>
      <c r="N23" s="145" t="s">
        <v>110</v>
      </c>
      <c r="O23" s="413" t="s">
        <v>142</v>
      </c>
      <c r="P23" s="414"/>
      <c r="Q23" s="170">
        <f>5/104*R23</f>
        <v>4.134615384615385</v>
      </c>
      <c r="R23" s="171">
        <f>R9</f>
        <v>86</v>
      </c>
      <c r="S23" s="172">
        <f t="shared" si="22"/>
        <v>4.807692307692308E-2</v>
      </c>
      <c r="T23" s="173">
        <v>1</v>
      </c>
      <c r="U23" s="174">
        <v>65</v>
      </c>
      <c r="V23" s="252">
        <f t="shared" si="23"/>
        <v>3.125</v>
      </c>
      <c r="W23" s="433"/>
      <c r="X23" s="176"/>
      <c r="Y23" s="169">
        <v>4</v>
      </c>
      <c r="Z23" s="181" t="s">
        <v>164</v>
      </c>
      <c r="AA23" s="413" t="s">
        <v>142</v>
      </c>
      <c r="AB23" s="414"/>
      <c r="AC23" s="170">
        <v>1</v>
      </c>
      <c r="AD23" s="171">
        <f>AD8</f>
        <v>104</v>
      </c>
      <c r="AE23" s="172">
        <f t="shared" si="24"/>
        <v>9.6153846153846159E-3</v>
      </c>
      <c r="AF23" s="177">
        <v>1</v>
      </c>
      <c r="AG23" s="178">
        <v>1200</v>
      </c>
      <c r="AH23" s="252">
        <f t="shared" si="16"/>
        <v>11.538461538461538</v>
      </c>
      <c r="AI23" s="433"/>
      <c r="AJ23" s="205">
        <f t="shared" si="25"/>
        <v>5</v>
      </c>
      <c r="AK23" s="206">
        <f t="shared" si="26"/>
        <v>325</v>
      </c>
      <c r="AL23" s="216">
        <f t="shared" si="27"/>
        <v>1200</v>
      </c>
      <c r="AM23" s="176">
        <f t="shared" si="28"/>
        <v>1</v>
      </c>
      <c r="AN23" s="176"/>
      <c r="AO23" s="208"/>
      <c r="AP23" s="208"/>
      <c r="AQ23" s="208"/>
      <c r="AR23" s="208"/>
      <c r="AS23" s="208"/>
      <c r="AT23" s="208"/>
      <c r="AU23" s="208"/>
      <c r="AV23" s="208"/>
    </row>
    <row r="24" spans="1:48" s="179" customFormat="1" outlineLevel="2">
      <c r="A24" s="169">
        <v>5</v>
      </c>
      <c r="B24" s="145" t="str">
        <f t="shared" si="17"/>
        <v>Набор кукольной посуды</v>
      </c>
      <c r="C24" s="413" t="str">
        <f t="shared" si="18"/>
        <v>шт</v>
      </c>
      <c r="D24" s="414"/>
      <c r="E24" s="170">
        <f>4/104*F24</f>
        <v>0.69230769230769229</v>
      </c>
      <c r="F24" s="171">
        <f>F9</f>
        <v>18</v>
      </c>
      <c r="G24" s="172">
        <f t="shared" si="19"/>
        <v>3.8461538461538464E-2</v>
      </c>
      <c r="H24" s="173">
        <v>1</v>
      </c>
      <c r="I24" s="174">
        <f t="shared" si="20"/>
        <v>100</v>
      </c>
      <c r="J24" s="252">
        <f t="shared" si="21"/>
        <v>3.8461538461538463</v>
      </c>
      <c r="K24" s="433"/>
      <c r="L24" s="175"/>
      <c r="M24" s="169">
        <v>5</v>
      </c>
      <c r="N24" s="145" t="s">
        <v>111</v>
      </c>
      <c r="O24" s="413" t="s">
        <v>142</v>
      </c>
      <c r="P24" s="414"/>
      <c r="Q24" s="170">
        <f>4/104*R24</f>
        <v>3.3076923076923079</v>
      </c>
      <c r="R24" s="171">
        <f>R9</f>
        <v>86</v>
      </c>
      <c r="S24" s="172">
        <f t="shared" si="22"/>
        <v>3.8461538461538464E-2</v>
      </c>
      <c r="T24" s="173">
        <v>1</v>
      </c>
      <c r="U24" s="174">
        <v>100</v>
      </c>
      <c r="V24" s="252">
        <f t="shared" si="23"/>
        <v>3.8461538461538463</v>
      </c>
      <c r="W24" s="433"/>
      <c r="X24" s="176"/>
      <c r="Y24" s="169">
        <v>5</v>
      </c>
      <c r="Z24" s="181" t="s">
        <v>165</v>
      </c>
      <c r="AA24" s="413" t="s">
        <v>142</v>
      </c>
      <c r="AB24" s="414"/>
      <c r="AC24" s="170">
        <v>3</v>
      </c>
      <c r="AD24" s="171">
        <f>AD8</f>
        <v>104</v>
      </c>
      <c r="AE24" s="172">
        <f t="shared" si="24"/>
        <v>2.8846153846153848E-2</v>
      </c>
      <c r="AF24" s="177">
        <v>1</v>
      </c>
      <c r="AG24" s="178">
        <v>300</v>
      </c>
      <c r="AH24" s="252">
        <f t="shared" si="16"/>
        <v>8.6538461538461551</v>
      </c>
      <c r="AI24" s="433"/>
      <c r="AJ24" s="205">
        <f t="shared" si="25"/>
        <v>4</v>
      </c>
      <c r="AK24" s="206">
        <f t="shared" si="26"/>
        <v>400</v>
      </c>
      <c r="AL24" s="216">
        <f t="shared" si="27"/>
        <v>900.00000000000011</v>
      </c>
      <c r="AM24" s="176">
        <f t="shared" si="28"/>
        <v>3</v>
      </c>
      <c r="AN24" s="176"/>
      <c r="AO24" s="208"/>
      <c r="AP24" s="208"/>
      <c r="AQ24" s="208"/>
      <c r="AR24" s="208"/>
      <c r="AS24" s="208"/>
      <c r="AT24" s="208"/>
      <c r="AU24" s="208"/>
      <c r="AV24" s="208"/>
    </row>
    <row r="25" spans="1:48" s="179" customFormat="1" outlineLevel="2">
      <c r="A25" s="169">
        <v>6</v>
      </c>
      <c r="B25" s="145" t="str">
        <f t="shared" si="17"/>
        <v>Настольно-печатные игры, пазлы</v>
      </c>
      <c r="C25" s="413" t="str">
        <f t="shared" si="18"/>
        <v>шт</v>
      </c>
      <c r="D25" s="414"/>
      <c r="E25" s="170">
        <f>3/104*F25</f>
        <v>0.51923076923076927</v>
      </c>
      <c r="F25" s="171">
        <f>F9</f>
        <v>18</v>
      </c>
      <c r="G25" s="172">
        <f t="shared" si="19"/>
        <v>2.8846153846153848E-2</v>
      </c>
      <c r="H25" s="173">
        <v>1</v>
      </c>
      <c r="I25" s="174">
        <f t="shared" si="20"/>
        <v>150</v>
      </c>
      <c r="J25" s="252">
        <f t="shared" si="21"/>
        <v>4.3269230769230775</v>
      </c>
      <c r="K25" s="433"/>
      <c r="L25" s="175"/>
      <c r="M25" s="169">
        <v>6</v>
      </c>
      <c r="N25" s="145" t="s">
        <v>115</v>
      </c>
      <c r="O25" s="413" t="s">
        <v>142</v>
      </c>
      <c r="P25" s="414"/>
      <c r="Q25" s="170">
        <f>3/104*R25</f>
        <v>2.4807692307692308</v>
      </c>
      <c r="R25" s="171">
        <f>R9</f>
        <v>86</v>
      </c>
      <c r="S25" s="172">
        <f t="shared" si="22"/>
        <v>2.8846153846153848E-2</v>
      </c>
      <c r="T25" s="173">
        <v>1</v>
      </c>
      <c r="U25" s="174">
        <v>150</v>
      </c>
      <c r="V25" s="252">
        <f t="shared" si="23"/>
        <v>4.3269230769230775</v>
      </c>
      <c r="W25" s="433"/>
      <c r="X25" s="176"/>
      <c r="Y25" s="169">
        <v>6</v>
      </c>
      <c r="Z25" s="145" t="s">
        <v>130</v>
      </c>
      <c r="AA25" s="413" t="s">
        <v>142</v>
      </c>
      <c r="AB25" s="414"/>
      <c r="AC25" s="170">
        <v>2</v>
      </c>
      <c r="AD25" s="171">
        <f>AD8</f>
        <v>104</v>
      </c>
      <c r="AE25" s="172">
        <f t="shared" si="24"/>
        <v>1.9230769230769232E-2</v>
      </c>
      <c r="AF25" s="177">
        <v>1</v>
      </c>
      <c r="AG25" s="178">
        <v>310</v>
      </c>
      <c r="AH25" s="252">
        <f t="shared" si="16"/>
        <v>5.9615384615384617</v>
      </c>
      <c r="AI25" s="433"/>
      <c r="AJ25" s="205">
        <f t="shared" si="25"/>
        <v>3</v>
      </c>
      <c r="AK25" s="206">
        <f t="shared" si="26"/>
        <v>450.00000000000006</v>
      </c>
      <c r="AL25" s="216">
        <f t="shared" si="27"/>
        <v>620</v>
      </c>
      <c r="AM25" s="176">
        <f t="shared" si="28"/>
        <v>2</v>
      </c>
      <c r="AN25" s="176"/>
      <c r="AO25" s="208"/>
      <c r="AP25" s="208"/>
      <c r="AQ25" s="208"/>
      <c r="AR25" s="208"/>
      <c r="AS25" s="208"/>
      <c r="AT25" s="208"/>
      <c r="AU25" s="208"/>
      <c r="AV25" s="208"/>
    </row>
    <row r="26" spans="1:48" s="179" customFormat="1" ht="17.25" customHeight="1" outlineLevel="2">
      <c r="A26" s="169">
        <v>7</v>
      </c>
      <c r="B26" s="145" t="str">
        <f t="shared" si="17"/>
        <v>Интерактивные развивающие игры</v>
      </c>
      <c r="C26" s="413" t="str">
        <f t="shared" si="18"/>
        <v>шт</v>
      </c>
      <c r="D26" s="414"/>
      <c r="E26" s="170">
        <f>3/104*F26</f>
        <v>0.51923076923076927</v>
      </c>
      <c r="F26" s="171">
        <f>F9</f>
        <v>18</v>
      </c>
      <c r="G26" s="172">
        <f t="shared" si="19"/>
        <v>2.8846153846153848E-2</v>
      </c>
      <c r="H26" s="173">
        <v>1</v>
      </c>
      <c r="I26" s="174">
        <f t="shared" si="20"/>
        <v>490</v>
      </c>
      <c r="J26" s="252">
        <f t="shared" si="21"/>
        <v>14.134615384615385</v>
      </c>
      <c r="K26" s="433"/>
      <c r="L26" s="175"/>
      <c r="M26" s="169">
        <v>7</v>
      </c>
      <c r="N26" s="145" t="s">
        <v>112</v>
      </c>
      <c r="O26" s="413" t="s">
        <v>142</v>
      </c>
      <c r="P26" s="414"/>
      <c r="Q26" s="170">
        <f>3/104*R26</f>
        <v>2.4807692307692308</v>
      </c>
      <c r="R26" s="171">
        <f>R9</f>
        <v>86</v>
      </c>
      <c r="S26" s="172">
        <f t="shared" si="22"/>
        <v>2.8846153846153848E-2</v>
      </c>
      <c r="T26" s="173">
        <v>1</v>
      </c>
      <c r="U26" s="174">
        <v>490</v>
      </c>
      <c r="V26" s="252">
        <f t="shared" si="23"/>
        <v>14.134615384615385</v>
      </c>
      <c r="W26" s="433"/>
      <c r="X26" s="176"/>
      <c r="Y26" s="169">
        <v>7</v>
      </c>
      <c r="Z26" s="145" t="s">
        <v>163</v>
      </c>
      <c r="AA26" s="413" t="s">
        <v>142</v>
      </c>
      <c r="AB26" s="414"/>
      <c r="AC26" s="170">
        <v>1</v>
      </c>
      <c r="AD26" s="171">
        <f>AD8</f>
        <v>104</v>
      </c>
      <c r="AE26" s="172">
        <f t="shared" si="24"/>
        <v>9.6153846153846159E-3</v>
      </c>
      <c r="AF26" s="177">
        <v>1</v>
      </c>
      <c r="AG26" s="178">
        <v>1590</v>
      </c>
      <c r="AH26" s="252">
        <f t="shared" si="16"/>
        <v>15.28846153846154</v>
      </c>
      <c r="AI26" s="433"/>
      <c r="AJ26" s="205">
        <f t="shared" si="25"/>
        <v>3</v>
      </c>
      <c r="AK26" s="206">
        <f t="shared" si="26"/>
        <v>1470</v>
      </c>
      <c r="AL26" s="216">
        <f t="shared" si="27"/>
        <v>1590.0000000000002</v>
      </c>
      <c r="AM26" s="176">
        <f t="shared" si="28"/>
        <v>1</v>
      </c>
      <c r="AN26" s="176"/>
      <c r="AO26" s="208"/>
      <c r="AP26" s="208"/>
      <c r="AQ26" s="208"/>
      <c r="AR26" s="208"/>
      <c r="AS26" s="208"/>
      <c r="AT26" s="208"/>
      <c r="AU26" s="208"/>
      <c r="AV26" s="208"/>
    </row>
    <row r="27" spans="1:48" s="179" customFormat="1" outlineLevel="2">
      <c r="A27" s="169">
        <v>8</v>
      </c>
      <c r="B27" s="145" t="str">
        <f t="shared" si="17"/>
        <v>Учебные пособия</v>
      </c>
      <c r="C27" s="413" t="str">
        <f t="shared" si="18"/>
        <v>шт</v>
      </c>
      <c r="D27" s="414"/>
      <c r="E27" s="170">
        <f>25/104*F27</f>
        <v>4.3269230769230766</v>
      </c>
      <c r="F27" s="171">
        <f>F9</f>
        <v>18</v>
      </c>
      <c r="G27" s="172">
        <f t="shared" si="19"/>
        <v>0.24038461538461536</v>
      </c>
      <c r="H27" s="173">
        <v>1</v>
      </c>
      <c r="I27" s="174">
        <f t="shared" si="20"/>
        <v>295</v>
      </c>
      <c r="J27" s="252">
        <f t="shared" si="21"/>
        <v>70.913461538461533</v>
      </c>
      <c r="K27" s="433"/>
      <c r="L27" s="175"/>
      <c r="M27" s="169">
        <v>8</v>
      </c>
      <c r="N27" s="145" t="s">
        <v>162</v>
      </c>
      <c r="O27" s="413" t="s">
        <v>142</v>
      </c>
      <c r="P27" s="414"/>
      <c r="Q27" s="170">
        <f>25/104*R27</f>
        <v>20.673076923076923</v>
      </c>
      <c r="R27" s="171">
        <f>R9</f>
        <v>86</v>
      </c>
      <c r="S27" s="172">
        <f t="shared" si="22"/>
        <v>0.24038461538461539</v>
      </c>
      <c r="T27" s="173">
        <v>1</v>
      </c>
      <c r="U27" s="174">
        <v>295</v>
      </c>
      <c r="V27" s="252">
        <f t="shared" si="23"/>
        <v>70.913461538461547</v>
      </c>
      <c r="W27" s="433"/>
      <c r="X27" s="176"/>
      <c r="Y27" s="169">
        <v>8</v>
      </c>
      <c r="Z27" s="145" t="s">
        <v>131</v>
      </c>
      <c r="AA27" s="413" t="s">
        <v>142</v>
      </c>
      <c r="AB27" s="414"/>
      <c r="AC27" s="170">
        <v>1</v>
      </c>
      <c r="AD27" s="171">
        <f>AD8</f>
        <v>104</v>
      </c>
      <c r="AE27" s="172">
        <f t="shared" si="24"/>
        <v>9.6153846153846159E-3</v>
      </c>
      <c r="AF27" s="177">
        <v>1</v>
      </c>
      <c r="AG27" s="178">
        <v>600</v>
      </c>
      <c r="AH27" s="252">
        <f t="shared" si="16"/>
        <v>5.7692307692307692</v>
      </c>
      <c r="AI27" s="433"/>
      <c r="AJ27" s="205">
        <f t="shared" si="25"/>
        <v>25</v>
      </c>
      <c r="AK27" s="206">
        <f t="shared" si="26"/>
        <v>7375.0000000000009</v>
      </c>
      <c r="AL27" s="216">
        <f t="shared" si="27"/>
        <v>600</v>
      </c>
      <c r="AM27" s="176">
        <f t="shared" si="28"/>
        <v>1</v>
      </c>
      <c r="AN27" s="176"/>
      <c r="AO27" s="208"/>
      <c r="AP27" s="208"/>
      <c r="AQ27" s="208"/>
      <c r="AR27" s="208"/>
      <c r="AS27" s="208"/>
      <c r="AT27" s="208"/>
      <c r="AU27" s="208"/>
      <c r="AV27" s="208"/>
    </row>
    <row r="28" spans="1:48" s="179" customFormat="1" outlineLevel="2">
      <c r="A28" s="169">
        <v>9</v>
      </c>
      <c r="B28" s="145" t="str">
        <f t="shared" si="17"/>
        <v xml:space="preserve">Конструкторы </v>
      </c>
      <c r="C28" s="413" t="str">
        <f t="shared" si="18"/>
        <v>шт</v>
      </c>
      <c r="D28" s="414"/>
      <c r="E28" s="170">
        <f>12/104*F28</f>
        <v>2.0769230769230771</v>
      </c>
      <c r="F28" s="171">
        <f>F9</f>
        <v>18</v>
      </c>
      <c r="G28" s="172">
        <f t="shared" si="19"/>
        <v>0.11538461538461539</v>
      </c>
      <c r="H28" s="173">
        <v>1</v>
      </c>
      <c r="I28" s="174">
        <f t="shared" si="20"/>
        <v>1000</v>
      </c>
      <c r="J28" s="252">
        <f t="shared" si="21"/>
        <v>115.38461538461539</v>
      </c>
      <c r="K28" s="433"/>
      <c r="L28" s="175"/>
      <c r="M28" s="169">
        <v>9</v>
      </c>
      <c r="N28" s="145" t="s">
        <v>113</v>
      </c>
      <c r="O28" s="413" t="s">
        <v>142</v>
      </c>
      <c r="P28" s="414"/>
      <c r="Q28" s="170">
        <f>12/104*R28</f>
        <v>9.9230769230769234</v>
      </c>
      <c r="R28" s="171">
        <f>R9</f>
        <v>86</v>
      </c>
      <c r="S28" s="172">
        <f t="shared" si="22"/>
        <v>0.11538461538461539</v>
      </c>
      <c r="T28" s="173">
        <v>1</v>
      </c>
      <c r="U28" s="174">
        <v>1000</v>
      </c>
      <c r="V28" s="252">
        <f t="shared" si="23"/>
        <v>115.38461538461539</v>
      </c>
      <c r="W28" s="433"/>
      <c r="X28" s="176"/>
      <c r="Y28" s="169">
        <v>9</v>
      </c>
      <c r="Z28" s="181" t="s">
        <v>166</v>
      </c>
      <c r="AA28" s="413" t="s">
        <v>142</v>
      </c>
      <c r="AB28" s="414"/>
      <c r="AC28" s="170">
        <v>2</v>
      </c>
      <c r="AD28" s="171">
        <f>AD8</f>
        <v>104</v>
      </c>
      <c r="AE28" s="172">
        <f t="shared" si="24"/>
        <v>1.9230769230769232E-2</v>
      </c>
      <c r="AF28" s="177">
        <v>1</v>
      </c>
      <c r="AG28" s="178">
        <v>250</v>
      </c>
      <c r="AH28" s="252">
        <f t="shared" si="16"/>
        <v>4.8076923076923084</v>
      </c>
      <c r="AI28" s="433"/>
      <c r="AJ28" s="205">
        <f t="shared" si="25"/>
        <v>12</v>
      </c>
      <c r="AK28" s="206">
        <f t="shared" si="26"/>
        <v>12000</v>
      </c>
      <c r="AL28" s="216">
        <f t="shared" si="27"/>
        <v>500.00000000000006</v>
      </c>
      <c r="AM28" s="176">
        <f t="shared" si="28"/>
        <v>2</v>
      </c>
      <c r="AN28" s="176"/>
      <c r="AO28" s="208"/>
      <c r="AP28" s="208"/>
      <c r="AQ28" s="208"/>
      <c r="AR28" s="208"/>
      <c r="AS28" s="208"/>
      <c r="AT28" s="208"/>
      <c r="AU28" s="208"/>
      <c r="AV28" s="208"/>
    </row>
    <row r="29" spans="1:48" s="179" customFormat="1" outlineLevel="2">
      <c r="A29" s="169">
        <v>10</v>
      </c>
      <c r="B29" s="145" t="str">
        <f t="shared" si="17"/>
        <v>Мозаика кнопочная</v>
      </c>
      <c r="C29" s="413" t="str">
        <f t="shared" si="18"/>
        <v>шт</v>
      </c>
      <c r="D29" s="414"/>
      <c r="E29" s="170">
        <f>5/104*F29</f>
        <v>0.86538461538461542</v>
      </c>
      <c r="F29" s="171">
        <f>F9</f>
        <v>18</v>
      </c>
      <c r="G29" s="172">
        <f t="shared" si="19"/>
        <v>4.807692307692308E-2</v>
      </c>
      <c r="H29" s="173">
        <v>1</v>
      </c>
      <c r="I29" s="174">
        <f t="shared" si="20"/>
        <v>500</v>
      </c>
      <c r="J29" s="252">
        <f t="shared" si="21"/>
        <v>24.03846153846154</v>
      </c>
      <c r="K29" s="433"/>
      <c r="L29" s="175"/>
      <c r="M29" s="169">
        <v>10</v>
      </c>
      <c r="N29" s="145" t="s">
        <v>116</v>
      </c>
      <c r="O29" s="413" t="s">
        <v>142</v>
      </c>
      <c r="P29" s="414"/>
      <c r="Q29" s="170">
        <f>5/104*R29</f>
        <v>4.134615384615385</v>
      </c>
      <c r="R29" s="171">
        <f>R9</f>
        <v>86</v>
      </c>
      <c r="S29" s="172">
        <f t="shared" si="22"/>
        <v>4.807692307692308E-2</v>
      </c>
      <c r="T29" s="173">
        <v>1</v>
      </c>
      <c r="U29" s="174">
        <v>500</v>
      </c>
      <c r="V29" s="252">
        <f t="shared" si="23"/>
        <v>24.03846153846154</v>
      </c>
      <c r="W29" s="433"/>
      <c r="X29" s="176"/>
      <c r="Y29" s="169">
        <v>10</v>
      </c>
      <c r="Z29" s="145" t="s">
        <v>146</v>
      </c>
      <c r="AA29" s="413" t="s">
        <v>142</v>
      </c>
      <c r="AB29" s="414"/>
      <c r="AC29" s="170">
        <v>6</v>
      </c>
      <c r="AD29" s="171">
        <f>AD8</f>
        <v>104</v>
      </c>
      <c r="AE29" s="172">
        <f t="shared" si="24"/>
        <v>5.7692307692307696E-2</v>
      </c>
      <c r="AF29" s="173">
        <v>1</v>
      </c>
      <c r="AG29" s="174">
        <v>50</v>
      </c>
      <c r="AH29" s="252">
        <f t="shared" si="16"/>
        <v>2.8846153846153846</v>
      </c>
      <c r="AI29" s="433"/>
      <c r="AJ29" s="205">
        <f t="shared" si="25"/>
        <v>5</v>
      </c>
      <c r="AK29" s="206">
        <f t="shared" si="26"/>
        <v>2500</v>
      </c>
      <c r="AL29" s="216">
        <f t="shared" si="27"/>
        <v>300</v>
      </c>
      <c r="AM29" s="176">
        <f t="shared" si="28"/>
        <v>6</v>
      </c>
      <c r="AN29" s="176"/>
      <c r="AO29" s="208"/>
      <c r="AP29" s="208"/>
      <c r="AQ29" s="208"/>
      <c r="AR29" s="208"/>
      <c r="AS29" s="208"/>
      <c r="AT29" s="208"/>
      <c r="AU29" s="208"/>
      <c r="AV29" s="208"/>
    </row>
    <row r="30" spans="1:48" s="179" customFormat="1" outlineLevel="2">
      <c r="A30" s="169">
        <v>11</v>
      </c>
      <c r="B30" s="145" t="str">
        <f t="shared" si="17"/>
        <v>Альбом для рисования</v>
      </c>
      <c r="C30" s="413" t="str">
        <f t="shared" si="18"/>
        <v>шт</v>
      </c>
      <c r="D30" s="414"/>
      <c r="E30" s="170">
        <f>81/81*F30</f>
        <v>18</v>
      </c>
      <c r="F30" s="171">
        <f>F9</f>
        <v>18</v>
      </c>
      <c r="G30" s="172">
        <f t="shared" si="19"/>
        <v>1</v>
      </c>
      <c r="H30" s="173">
        <v>1</v>
      </c>
      <c r="I30" s="174">
        <f t="shared" si="20"/>
        <v>50</v>
      </c>
      <c r="J30" s="252">
        <f t="shared" si="21"/>
        <v>50</v>
      </c>
      <c r="K30" s="433"/>
      <c r="L30" s="175"/>
      <c r="M30" s="169">
        <v>11</v>
      </c>
      <c r="N30" s="145" t="s">
        <v>117</v>
      </c>
      <c r="O30" s="413" t="s">
        <v>142</v>
      </c>
      <c r="P30" s="414"/>
      <c r="Q30" s="170">
        <f>81/81*R30</f>
        <v>86</v>
      </c>
      <c r="R30" s="171">
        <f>R9</f>
        <v>86</v>
      </c>
      <c r="S30" s="172">
        <f t="shared" si="22"/>
        <v>1</v>
      </c>
      <c r="T30" s="173">
        <v>1</v>
      </c>
      <c r="U30" s="174">
        <v>50</v>
      </c>
      <c r="V30" s="252">
        <f t="shared" si="23"/>
        <v>50</v>
      </c>
      <c r="W30" s="433"/>
      <c r="X30" s="176"/>
      <c r="Y30" s="169">
        <v>11</v>
      </c>
      <c r="Z30" s="145" t="s">
        <v>147</v>
      </c>
      <c r="AA30" s="413" t="s">
        <v>142</v>
      </c>
      <c r="AB30" s="414"/>
      <c r="AC30" s="170">
        <v>30</v>
      </c>
      <c r="AD30" s="171">
        <f>AD8</f>
        <v>104</v>
      </c>
      <c r="AE30" s="172">
        <f t="shared" si="24"/>
        <v>0.28846153846153844</v>
      </c>
      <c r="AF30" s="173">
        <v>1</v>
      </c>
      <c r="AG30" s="174">
        <v>20</v>
      </c>
      <c r="AH30" s="252">
        <f t="shared" si="16"/>
        <v>5.7692307692307683</v>
      </c>
      <c r="AI30" s="433"/>
      <c r="AJ30" s="205">
        <f t="shared" si="25"/>
        <v>104</v>
      </c>
      <c r="AK30" s="206">
        <f t="shared" si="26"/>
        <v>5200</v>
      </c>
      <c r="AL30" s="216">
        <f t="shared" si="27"/>
        <v>599.99999999999989</v>
      </c>
      <c r="AM30" s="176">
        <f t="shared" si="28"/>
        <v>30</v>
      </c>
      <c r="AN30" s="176"/>
      <c r="AO30" s="208"/>
      <c r="AP30" s="208"/>
      <c r="AQ30" s="208"/>
      <c r="AR30" s="208"/>
      <c r="AS30" s="208"/>
      <c r="AT30" s="208"/>
      <c r="AU30" s="208"/>
      <c r="AV30" s="208"/>
    </row>
    <row r="31" spans="1:48" s="179" customFormat="1" ht="17.25" customHeight="1" outlineLevel="2">
      <c r="A31" s="169">
        <v>12</v>
      </c>
      <c r="B31" s="145" t="str">
        <f t="shared" si="17"/>
        <v>Краски акварельные</v>
      </c>
      <c r="C31" s="413" t="str">
        <f t="shared" si="18"/>
        <v>шт</v>
      </c>
      <c r="D31" s="414"/>
      <c r="E31" s="170">
        <f>81/81*F31</f>
        <v>18</v>
      </c>
      <c r="F31" s="171">
        <f>F9</f>
        <v>18</v>
      </c>
      <c r="G31" s="172">
        <f t="shared" si="19"/>
        <v>1</v>
      </c>
      <c r="H31" s="173">
        <v>1</v>
      </c>
      <c r="I31" s="174">
        <f t="shared" si="20"/>
        <v>80</v>
      </c>
      <c r="J31" s="252">
        <f t="shared" si="21"/>
        <v>80</v>
      </c>
      <c r="K31" s="433"/>
      <c r="L31" s="175"/>
      <c r="M31" s="169">
        <v>12</v>
      </c>
      <c r="N31" s="145" t="s">
        <v>118</v>
      </c>
      <c r="O31" s="413" t="s">
        <v>142</v>
      </c>
      <c r="P31" s="414"/>
      <c r="Q31" s="170">
        <f>81/81*R31</f>
        <v>86</v>
      </c>
      <c r="R31" s="171">
        <f>R9</f>
        <v>86</v>
      </c>
      <c r="S31" s="172">
        <f t="shared" si="22"/>
        <v>1</v>
      </c>
      <c r="T31" s="173">
        <v>1</v>
      </c>
      <c r="U31" s="174">
        <v>80</v>
      </c>
      <c r="V31" s="252">
        <f t="shared" si="23"/>
        <v>80</v>
      </c>
      <c r="W31" s="433"/>
      <c r="X31" s="176"/>
      <c r="Y31" s="169">
        <v>12</v>
      </c>
      <c r="Z31" s="145" t="s">
        <v>148</v>
      </c>
      <c r="AA31" s="413" t="s">
        <v>142</v>
      </c>
      <c r="AB31" s="414"/>
      <c r="AC31" s="170">
        <v>80</v>
      </c>
      <c r="AD31" s="171">
        <f t="shared" ref="AD31:AD42" si="29">AD30</f>
        <v>104</v>
      </c>
      <c r="AE31" s="172">
        <f t="shared" si="24"/>
        <v>0.76923076923076927</v>
      </c>
      <c r="AF31" s="177">
        <v>1</v>
      </c>
      <c r="AG31" s="178">
        <v>100</v>
      </c>
      <c r="AH31" s="252">
        <f t="shared" si="16"/>
        <v>76.923076923076934</v>
      </c>
      <c r="AI31" s="433"/>
      <c r="AJ31" s="205">
        <f t="shared" si="25"/>
        <v>104</v>
      </c>
      <c r="AK31" s="206">
        <f t="shared" si="26"/>
        <v>8320</v>
      </c>
      <c r="AL31" s="216">
        <f t="shared" si="27"/>
        <v>8000.0000000000009</v>
      </c>
      <c r="AM31" s="176">
        <f t="shared" si="28"/>
        <v>80</v>
      </c>
      <c r="AN31" s="176"/>
      <c r="AO31" s="208"/>
      <c r="AP31" s="208"/>
      <c r="AQ31" s="208"/>
      <c r="AR31" s="208"/>
      <c r="AS31" s="208"/>
      <c r="AT31" s="208"/>
      <c r="AU31" s="208"/>
      <c r="AV31" s="208"/>
    </row>
    <row r="32" spans="1:48" s="179" customFormat="1" outlineLevel="2">
      <c r="A32" s="169">
        <v>13</v>
      </c>
      <c r="B32" s="145" t="str">
        <f t="shared" si="17"/>
        <v>Карандаши цветные</v>
      </c>
      <c r="C32" s="413" t="str">
        <f t="shared" si="18"/>
        <v>шт</v>
      </c>
      <c r="D32" s="414"/>
      <c r="E32" s="170">
        <f>81/81*F32</f>
        <v>18</v>
      </c>
      <c r="F32" s="171">
        <f>F10</f>
        <v>18</v>
      </c>
      <c r="G32" s="172">
        <f t="shared" si="19"/>
        <v>1</v>
      </c>
      <c r="H32" s="173">
        <v>1</v>
      </c>
      <c r="I32" s="174">
        <f t="shared" si="20"/>
        <v>65</v>
      </c>
      <c r="J32" s="252">
        <f t="shared" si="21"/>
        <v>65</v>
      </c>
      <c r="K32" s="433"/>
      <c r="L32" s="175"/>
      <c r="M32" s="169">
        <v>13</v>
      </c>
      <c r="N32" s="145" t="s">
        <v>119</v>
      </c>
      <c r="O32" s="413" t="s">
        <v>142</v>
      </c>
      <c r="P32" s="414"/>
      <c r="Q32" s="170">
        <f>81/81*R32</f>
        <v>86</v>
      </c>
      <c r="R32" s="171">
        <f>R10</f>
        <v>86</v>
      </c>
      <c r="S32" s="172">
        <f>Q32/R32</f>
        <v>1</v>
      </c>
      <c r="T32" s="173">
        <v>1</v>
      </c>
      <c r="U32" s="174">
        <v>65</v>
      </c>
      <c r="V32" s="252">
        <f>IFERROR(S32*U32/T32,0)</f>
        <v>65</v>
      </c>
      <c r="W32" s="433"/>
      <c r="X32" s="176"/>
      <c r="Y32" s="169">
        <v>13</v>
      </c>
      <c r="Z32" s="145" t="s">
        <v>149</v>
      </c>
      <c r="AA32" s="413" t="s">
        <v>142</v>
      </c>
      <c r="AB32" s="414"/>
      <c r="AC32" s="170">
        <v>100</v>
      </c>
      <c r="AD32" s="171">
        <f t="shared" si="29"/>
        <v>104</v>
      </c>
      <c r="AE32" s="172">
        <f t="shared" si="24"/>
        <v>0.96153846153846156</v>
      </c>
      <c r="AF32" s="177">
        <v>1</v>
      </c>
      <c r="AG32" s="178">
        <v>20</v>
      </c>
      <c r="AH32" s="252">
        <f t="shared" si="16"/>
        <v>19.23076923076923</v>
      </c>
      <c r="AI32" s="433"/>
      <c r="AJ32" s="205">
        <f t="shared" si="25"/>
        <v>104</v>
      </c>
      <c r="AK32" s="206">
        <f t="shared" si="26"/>
        <v>6760</v>
      </c>
      <c r="AL32" s="216">
        <f t="shared" si="27"/>
        <v>2000</v>
      </c>
      <c r="AM32" s="176">
        <f t="shared" si="28"/>
        <v>100</v>
      </c>
      <c r="AN32" s="176"/>
      <c r="AO32" s="208"/>
      <c r="AP32" s="208"/>
      <c r="AQ32" s="208"/>
      <c r="AR32" s="208"/>
      <c r="AS32" s="208"/>
      <c r="AT32" s="208"/>
      <c r="AU32" s="208"/>
      <c r="AV32" s="208"/>
    </row>
    <row r="33" spans="1:48" s="179" customFormat="1" ht="17.25" customHeight="1" outlineLevel="2">
      <c r="A33" s="169">
        <v>14</v>
      </c>
      <c r="B33" s="145" t="str">
        <f t="shared" si="17"/>
        <v>Наглядный и раздаточный материал</v>
      </c>
      <c r="C33" s="413" t="str">
        <f t="shared" si="18"/>
        <v>шт</v>
      </c>
      <c r="D33" s="414"/>
      <c r="E33" s="170">
        <f>81/81*F33</f>
        <v>18</v>
      </c>
      <c r="F33" s="171">
        <f>F21</f>
        <v>18</v>
      </c>
      <c r="G33" s="172">
        <f>E33/F33</f>
        <v>1</v>
      </c>
      <c r="H33" s="173">
        <v>1</v>
      </c>
      <c r="I33" s="174">
        <f t="shared" si="20"/>
        <v>200</v>
      </c>
      <c r="J33" s="252">
        <f t="shared" si="21"/>
        <v>200</v>
      </c>
      <c r="K33" s="433"/>
      <c r="L33" s="175"/>
      <c r="M33" s="169">
        <v>14</v>
      </c>
      <c r="N33" s="145" t="s">
        <v>171</v>
      </c>
      <c r="O33" s="413" t="s">
        <v>142</v>
      </c>
      <c r="P33" s="414"/>
      <c r="Q33" s="170">
        <f>81/81*R33</f>
        <v>86</v>
      </c>
      <c r="R33" s="171">
        <f>R21</f>
        <v>86</v>
      </c>
      <c r="S33" s="172">
        <f>Q33/R33</f>
        <v>1</v>
      </c>
      <c r="T33" s="173">
        <v>1</v>
      </c>
      <c r="U33" s="174">
        <v>200</v>
      </c>
      <c r="V33" s="252">
        <f>IFERROR(S33*U33/T33,0)</f>
        <v>200</v>
      </c>
      <c r="W33" s="433"/>
      <c r="X33" s="176"/>
      <c r="Y33" s="169">
        <v>14</v>
      </c>
      <c r="Z33" s="145" t="s">
        <v>150</v>
      </c>
      <c r="AA33" s="413" t="s">
        <v>142</v>
      </c>
      <c r="AB33" s="414"/>
      <c r="AC33" s="170">
        <v>80</v>
      </c>
      <c r="AD33" s="171">
        <f t="shared" si="29"/>
        <v>104</v>
      </c>
      <c r="AE33" s="172">
        <f t="shared" si="24"/>
        <v>0.76923076923076927</v>
      </c>
      <c r="AF33" s="177">
        <v>1</v>
      </c>
      <c r="AG33" s="178">
        <v>40</v>
      </c>
      <c r="AH33" s="252">
        <f t="shared" si="16"/>
        <v>30.76923076923077</v>
      </c>
      <c r="AI33" s="433"/>
      <c r="AJ33" s="205">
        <f t="shared" si="25"/>
        <v>104</v>
      </c>
      <c r="AK33" s="206">
        <f t="shared" si="26"/>
        <v>20800</v>
      </c>
      <c r="AL33" s="216">
        <f t="shared" si="27"/>
        <v>3200</v>
      </c>
      <c r="AM33" s="176">
        <f t="shared" si="28"/>
        <v>80</v>
      </c>
      <c r="AN33" s="176"/>
      <c r="AO33" s="208"/>
      <c r="AP33" s="208"/>
      <c r="AQ33" s="208"/>
      <c r="AR33" s="208"/>
      <c r="AS33" s="208"/>
      <c r="AT33" s="208"/>
      <c r="AU33" s="208"/>
      <c r="AV33" s="208"/>
    </row>
    <row r="34" spans="1:48" outlineLevel="2">
      <c r="A34" s="65">
        <v>15</v>
      </c>
      <c r="B34" s="145">
        <f t="shared" si="17"/>
        <v>0</v>
      </c>
      <c r="C34" s="413">
        <f t="shared" ref="C34:C42" si="30">O34</f>
        <v>0</v>
      </c>
      <c r="D34" s="414"/>
      <c r="E34" s="170">
        <v>0</v>
      </c>
      <c r="F34" s="171">
        <f>F22</f>
        <v>18</v>
      </c>
      <c r="G34" s="172">
        <f>E34/F34</f>
        <v>0</v>
      </c>
      <c r="H34" s="173">
        <v>1</v>
      </c>
      <c r="I34" s="174">
        <f t="shared" ref="I34" si="31">U34</f>
        <v>0</v>
      </c>
      <c r="J34" s="252">
        <f t="shared" ref="J34" si="32">IFERROR(G34*I34/H34,0)</f>
        <v>0</v>
      </c>
      <c r="K34" s="433"/>
      <c r="L34" s="61"/>
      <c r="M34" s="65">
        <v>15</v>
      </c>
      <c r="N34" s="105"/>
      <c r="O34" s="441"/>
      <c r="P34" s="373"/>
      <c r="Q34" s="170"/>
      <c r="R34" s="171"/>
      <c r="S34" s="172"/>
      <c r="T34" s="173"/>
      <c r="U34" s="174"/>
      <c r="V34" s="252">
        <f>IFERROR(S34*U34/T34,0)</f>
        <v>0</v>
      </c>
      <c r="W34" s="433"/>
      <c r="X34" s="39"/>
      <c r="Y34" s="65">
        <v>15</v>
      </c>
      <c r="Z34" s="83" t="s">
        <v>156</v>
      </c>
      <c r="AA34" s="372" t="s">
        <v>142</v>
      </c>
      <c r="AB34" s="373"/>
      <c r="AC34" s="35">
        <v>1</v>
      </c>
      <c r="AD34" s="30">
        <f t="shared" si="29"/>
        <v>104</v>
      </c>
      <c r="AE34" s="45">
        <f t="shared" si="24"/>
        <v>9.6153846153846159E-3</v>
      </c>
      <c r="AF34" s="3">
        <v>1</v>
      </c>
      <c r="AG34" s="5">
        <v>4000</v>
      </c>
      <c r="AH34" s="252">
        <f t="shared" si="16"/>
        <v>38.461538461538467</v>
      </c>
      <c r="AI34" s="433"/>
      <c r="AJ34" s="205">
        <f t="shared" si="25"/>
        <v>0</v>
      </c>
      <c r="AK34" s="206">
        <f t="shared" si="26"/>
        <v>0</v>
      </c>
      <c r="AL34" s="216">
        <f t="shared" si="27"/>
        <v>4000.0000000000005</v>
      </c>
      <c r="AM34" s="176">
        <f t="shared" si="28"/>
        <v>1</v>
      </c>
      <c r="AN34" s="39"/>
      <c r="AO34" s="26"/>
      <c r="AP34" s="26"/>
      <c r="AQ34" s="26"/>
      <c r="AR34" s="26"/>
      <c r="AS34" s="26"/>
      <c r="AT34" s="26"/>
      <c r="AU34" s="26"/>
      <c r="AV34" s="26"/>
    </row>
    <row r="35" spans="1:48" outlineLevel="2">
      <c r="A35" s="65">
        <v>16</v>
      </c>
      <c r="B35" s="145">
        <f t="shared" si="17"/>
        <v>0</v>
      </c>
      <c r="C35" s="413">
        <f t="shared" si="30"/>
        <v>0</v>
      </c>
      <c r="D35" s="414"/>
      <c r="E35" s="170">
        <v>0</v>
      </c>
      <c r="F35" s="171">
        <f>F23</f>
        <v>18</v>
      </c>
      <c r="G35" s="172">
        <f>E35/F35</f>
        <v>0</v>
      </c>
      <c r="H35" s="173">
        <v>1</v>
      </c>
      <c r="I35" s="174">
        <f t="shared" ref="I35" si="33">U35</f>
        <v>0</v>
      </c>
      <c r="J35" s="252">
        <f t="shared" ref="J35" si="34">IFERROR(G35*I35/H35,0)</f>
        <v>0</v>
      </c>
      <c r="K35" s="433"/>
      <c r="L35" s="61"/>
      <c r="M35" s="65">
        <v>16</v>
      </c>
      <c r="N35" s="105"/>
      <c r="O35" s="441"/>
      <c r="P35" s="373"/>
      <c r="Q35" s="35"/>
      <c r="R35" s="30"/>
      <c r="S35" s="172"/>
      <c r="T35" s="173"/>
      <c r="U35" s="174"/>
      <c r="V35" s="252">
        <f>IFERROR(S35*U35/T35,0)</f>
        <v>0</v>
      </c>
      <c r="W35" s="433"/>
      <c r="X35" s="39"/>
      <c r="Y35" s="65">
        <v>16</v>
      </c>
      <c r="Z35" s="109" t="s">
        <v>168</v>
      </c>
      <c r="AA35" s="372" t="s">
        <v>142</v>
      </c>
      <c r="AB35" s="373"/>
      <c r="AC35" s="50">
        <v>38</v>
      </c>
      <c r="AD35" s="30">
        <f>AD34</f>
        <v>104</v>
      </c>
      <c r="AE35" s="45">
        <f>AC35/AD35</f>
        <v>0.36538461538461536</v>
      </c>
      <c r="AF35" s="3">
        <v>1</v>
      </c>
      <c r="AG35" s="51">
        <v>325</v>
      </c>
      <c r="AH35" s="252">
        <f t="shared" si="16"/>
        <v>118.75</v>
      </c>
      <c r="AI35" s="433"/>
      <c r="AJ35" s="205">
        <f t="shared" si="25"/>
        <v>0</v>
      </c>
      <c r="AK35" s="206">
        <f t="shared" si="26"/>
        <v>0</v>
      </c>
      <c r="AL35" s="216">
        <f t="shared" si="27"/>
        <v>12350</v>
      </c>
      <c r="AM35" s="176">
        <f t="shared" si="28"/>
        <v>38</v>
      </c>
      <c r="AN35" s="39"/>
      <c r="AO35" s="26"/>
      <c r="AP35" s="26"/>
      <c r="AQ35" s="26"/>
      <c r="AR35" s="26"/>
      <c r="AS35" s="26"/>
      <c r="AT35" s="26"/>
      <c r="AU35" s="26"/>
      <c r="AV35" s="26"/>
    </row>
    <row r="36" spans="1:48" outlineLevel="2">
      <c r="A36" s="65">
        <v>17</v>
      </c>
      <c r="B36" s="145">
        <f t="shared" si="17"/>
        <v>0</v>
      </c>
      <c r="C36" s="413">
        <f t="shared" si="30"/>
        <v>0</v>
      </c>
      <c r="D36" s="414"/>
      <c r="E36" s="35"/>
      <c r="F36" s="30"/>
      <c r="G36" s="45"/>
      <c r="H36" s="32"/>
      <c r="I36" s="36"/>
      <c r="J36" s="250"/>
      <c r="K36" s="433"/>
      <c r="L36" s="61"/>
      <c r="M36" s="65">
        <v>17</v>
      </c>
      <c r="N36" s="83"/>
      <c r="O36" s="372"/>
      <c r="P36" s="373"/>
      <c r="Q36" s="35"/>
      <c r="R36" s="30"/>
      <c r="S36" s="45"/>
      <c r="T36" s="32"/>
      <c r="U36" s="36"/>
      <c r="V36" s="250"/>
      <c r="W36" s="433"/>
      <c r="X36" s="39"/>
      <c r="Y36" s="65">
        <v>17</v>
      </c>
      <c r="Z36" s="110" t="s">
        <v>169</v>
      </c>
      <c r="AA36" s="372" t="s">
        <v>142</v>
      </c>
      <c r="AB36" s="373"/>
      <c r="AC36" s="108">
        <v>50</v>
      </c>
      <c r="AD36" s="30">
        <f>AD35</f>
        <v>104</v>
      </c>
      <c r="AE36" s="45">
        <f>AC36/AD36</f>
        <v>0.48076923076923078</v>
      </c>
      <c r="AF36" s="3">
        <v>1</v>
      </c>
      <c r="AG36" s="52">
        <v>3</v>
      </c>
      <c r="AH36" s="252">
        <f t="shared" si="16"/>
        <v>1.4423076923076923</v>
      </c>
      <c r="AI36" s="433"/>
      <c r="AJ36" s="205">
        <f t="shared" si="25"/>
        <v>0</v>
      </c>
      <c r="AK36" s="206">
        <f t="shared" si="26"/>
        <v>0</v>
      </c>
      <c r="AL36" s="216">
        <f t="shared" si="27"/>
        <v>150</v>
      </c>
      <c r="AM36" s="176">
        <f t="shared" si="28"/>
        <v>50</v>
      </c>
      <c r="AN36" s="39"/>
      <c r="AO36" s="26"/>
      <c r="AP36" s="26"/>
      <c r="AQ36" s="26"/>
      <c r="AR36" s="26"/>
      <c r="AS36" s="26"/>
      <c r="AT36" s="26"/>
      <c r="AU36" s="26"/>
      <c r="AV36" s="26"/>
    </row>
    <row r="37" spans="1:48" outlineLevel="2">
      <c r="A37" s="65">
        <v>18</v>
      </c>
      <c r="B37" s="145">
        <f t="shared" si="17"/>
        <v>0</v>
      </c>
      <c r="C37" s="413">
        <f t="shared" si="30"/>
        <v>0</v>
      </c>
      <c r="D37" s="414"/>
      <c r="E37" s="35"/>
      <c r="F37" s="30"/>
      <c r="G37" s="45"/>
      <c r="H37" s="32"/>
      <c r="I37" s="36"/>
      <c r="J37" s="250"/>
      <c r="K37" s="433"/>
      <c r="L37" s="61"/>
      <c r="M37" s="65">
        <v>18</v>
      </c>
      <c r="N37" s="83"/>
      <c r="O37" s="372"/>
      <c r="P37" s="373"/>
      <c r="Q37" s="35"/>
      <c r="R37" s="30"/>
      <c r="S37" s="45"/>
      <c r="T37" s="32"/>
      <c r="U37" s="36"/>
      <c r="V37" s="250"/>
      <c r="W37" s="433"/>
      <c r="X37" s="39"/>
      <c r="Y37" s="65">
        <v>18</v>
      </c>
      <c r="Z37" s="109" t="s">
        <v>170</v>
      </c>
      <c r="AA37" s="372" t="s">
        <v>142</v>
      </c>
      <c r="AB37" s="373"/>
      <c r="AC37" s="50">
        <v>3</v>
      </c>
      <c r="AD37" s="30">
        <f>AD36</f>
        <v>104</v>
      </c>
      <c r="AE37" s="45">
        <f>AC37/AD37</f>
        <v>2.8846153846153848E-2</v>
      </c>
      <c r="AF37" s="3">
        <v>1</v>
      </c>
      <c r="AG37" s="53">
        <v>1000</v>
      </c>
      <c r="AH37" s="252">
        <f t="shared" si="16"/>
        <v>28.846153846153847</v>
      </c>
      <c r="AI37" s="433"/>
      <c r="AJ37" s="205">
        <f t="shared" si="25"/>
        <v>0</v>
      </c>
      <c r="AK37" s="206">
        <f t="shared" si="26"/>
        <v>0</v>
      </c>
      <c r="AL37" s="216">
        <f t="shared" si="27"/>
        <v>3000</v>
      </c>
      <c r="AM37" s="176">
        <f t="shared" si="28"/>
        <v>3</v>
      </c>
      <c r="AN37" s="39"/>
      <c r="AO37" s="26"/>
      <c r="AP37" s="26"/>
      <c r="AQ37" s="26"/>
      <c r="AR37" s="26"/>
      <c r="AS37" s="26"/>
      <c r="AT37" s="26"/>
      <c r="AU37" s="26"/>
      <c r="AV37" s="26"/>
    </row>
    <row r="38" spans="1:48" ht="2.25" customHeight="1" outlineLevel="2">
      <c r="A38" s="65">
        <v>19</v>
      </c>
      <c r="B38" s="145">
        <f t="shared" si="17"/>
        <v>0</v>
      </c>
      <c r="C38" s="413">
        <f t="shared" si="30"/>
        <v>0</v>
      </c>
      <c r="D38" s="414"/>
      <c r="E38" s="35"/>
      <c r="F38" s="30"/>
      <c r="G38" s="45"/>
      <c r="H38" s="32"/>
      <c r="I38" s="36"/>
      <c r="J38" s="250"/>
      <c r="K38" s="433"/>
      <c r="L38" s="61"/>
      <c r="M38" s="65">
        <v>19</v>
      </c>
      <c r="N38" s="83"/>
      <c r="O38" s="372"/>
      <c r="P38" s="373"/>
      <c r="Q38" s="35"/>
      <c r="R38" s="30"/>
      <c r="S38" s="45"/>
      <c r="T38" s="32"/>
      <c r="U38" s="36"/>
      <c r="V38" s="250"/>
      <c r="W38" s="433"/>
      <c r="X38" s="39"/>
      <c r="Y38" s="65">
        <v>19</v>
      </c>
      <c r="Z38" s="210"/>
      <c r="AA38" s="435" t="s">
        <v>142</v>
      </c>
      <c r="AB38" s="435"/>
      <c r="AC38" s="3"/>
      <c r="AD38" s="31">
        <f>AD37</f>
        <v>104</v>
      </c>
      <c r="AE38" s="3"/>
      <c r="AF38" s="3"/>
      <c r="AG38" s="3"/>
      <c r="AH38" s="252">
        <f t="shared" si="16"/>
        <v>0</v>
      </c>
      <c r="AI38" s="433"/>
      <c r="AJ38" s="205">
        <f t="shared" si="25"/>
        <v>0</v>
      </c>
      <c r="AK38" s="206">
        <f t="shared" si="26"/>
        <v>0</v>
      </c>
      <c r="AL38" s="216">
        <f>AH38*AD38</f>
        <v>0</v>
      </c>
      <c r="AM38" s="176">
        <f t="shared" si="28"/>
        <v>0</v>
      </c>
      <c r="AN38" s="39"/>
      <c r="AO38" s="26"/>
      <c r="AP38" s="26"/>
      <c r="AQ38" s="26"/>
      <c r="AR38" s="26"/>
      <c r="AS38" s="26"/>
      <c r="AT38" s="26"/>
      <c r="AU38" s="26"/>
      <c r="AV38" s="26"/>
    </row>
    <row r="39" spans="1:48" hidden="1" outlineLevel="2">
      <c r="A39" s="65">
        <v>20</v>
      </c>
      <c r="B39" s="145">
        <f t="shared" si="17"/>
        <v>0</v>
      </c>
      <c r="C39" s="413">
        <f t="shared" si="30"/>
        <v>0</v>
      </c>
      <c r="D39" s="414"/>
      <c r="E39" s="35"/>
      <c r="F39" s="30"/>
      <c r="G39" s="45"/>
      <c r="H39" s="32"/>
      <c r="I39" s="36"/>
      <c r="J39" s="250"/>
      <c r="K39" s="433"/>
      <c r="L39" s="61"/>
      <c r="M39" s="65">
        <v>20</v>
      </c>
      <c r="N39" s="83"/>
      <c r="O39" s="372"/>
      <c r="P39" s="373"/>
      <c r="Q39" s="35"/>
      <c r="R39" s="30"/>
      <c r="S39" s="45"/>
      <c r="T39" s="32"/>
      <c r="U39" s="36"/>
      <c r="V39" s="250"/>
      <c r="W39" s="433"/>
      <c r="X39" s="39"/>
      <c r="Y39" s="65">
        <v>20</v>
      </c>
      <c r="Z39" s="83"/>
      <c r="AA39" s="54"/>
      <c r="AB39" s="55"/>
      <c r="AC39" s="35"/>
      <c r="AD39" s="31">
        <f>AD38</f>
        <v>104</v>
      </c>
      <c r="AE39" s="45"/>
      <c r="AF39" s="3"/>
      <c r="AG39" s="5"/>
      <c r="AH39" s="250"/>
      <c r="AI39" s="433"/>
      <c r="AJ39" s="205">
        <f t="shared" si="25"/>
        <v>0</v>
      </c>
      <c r="AK39" s="206">
        <f t="shared" si="26"/>
        <v>0</v>
      </c>
      <c r="AL39" s="216">
        <f t="shared" si="27"/>
        <v>0</v>
      </c>
      <c r="AM39" s="176">
        <f t="shared" si="28"/>
        <v>0</v>
      </c>
      <c r="AN39" s="39"/>
      <c r="AO39" s="26"/>
      <c r="AP39" s="26"/>
      <c r="AQ39" s="26"/>
      <c r="AR39" s="26"/>
      <c r="AS39" s="26"/>
      <c r="AT39" s="26"/>
      <c r="AU39" s="26"/>
      <c r="AV39" s="26"/>
    </row>
    <row r="40" spans="1:48" hidden="1" outlineLevel="2">
      <c r="A40" s="65">
        <v>21</v>
      </c>
      <c r="B40" s="145">
        <f t="shared" si="17"/>
        <v>0</v>
      </c>
      <c r="C40" s="413">
        <f t="shared" si="30"/>
        <v>0</v>
      </c>
      <c r="D40" s="414"/>
      <c r="E40" s="35"/>
      <c r="F40" s="30"/>
      <c r="G40" s="45"/>
      <c r="H40" s="32"/>
      <c r="I40" s="36"/>
      <c r="J40" s="250"/>
      <c r="K40" s="433"/>
      <c r="L40" s="61"/>
      <c r="M40" s="65">
        <v>21</v>
      </c>
      <c r="N40" s="83"/>
      <c r="O40" s="372"/>
      <c r="P40" s="373"/>
      <c r="Q40" s="35"/>
      <c r="R40" s="30"/>
      <c r="S40" s="45"/>
      <c r="T40" s="32"/>
      <c r="U40" s="36"/>
      <c r="V40" s="250"/>
      <c r="W40" s="433"/>
      <c r="X40" s="39"/>
      <c r="Y40" s="65">
        <v>21</v>
      </c>
      <c r="Z40" s="83"/>
      <c r="AA40" s="54"/>
      <c r="AB40" s="55"/>
      <c r="AC40" s="35"/>
      <c r="AD40" s="30">
        <f t="shared" si="29"/>
        <v>104</v>
      </c>
      <c r="AE40" s="45"/>
      <c r="AF40" s="3"/>
      <c r="AG40" s="5"/>
      <c r="AH40" s="250"/>
      <c r="AI40" s="433"/>
      <c r="AJ40" s="205">
        <f t="shared" si="25"/>
        <v>0</v>
      </c>
      <c r="AK40" s="206">
        <f t="shared" si="26"/>
        <v>0</v>
      </c>
      <c r="AL40" s="216">
        <f t="shared" si="27"/>
        <v>0</v>
      </c>
      <c r="AM40" s="176">
        <f t="shared" si="28"/>
        <v>0</v>
      </c>
      <c r="AN40" s="39"/>
      <c r="AO40" s="26"/>
      <c r="AP40" s="26"/>
      <c r="AQ40" s="26"/>
      <c r="AR40" s="26"/>
      <c r="AS40" s="26"/>
      <c r="AT40" s="26"/>
      <c r="AU40" s="26"/>
      <c r="AV40" s="26"/>
    </row>
    <row r="41" spans="1:48" hidden="1" outlineLevel="2">
      <c r="A41" s="65">
        <v>22</v>
      </c>
      <c r="B41" s="145">
        <f t="shared" si="17"/>
        <v>0</v>
      </c>
      <c r="C41" s="413">
        <f t="shared" si="30"/>
        <v>0</v>
      </c>
      <c r="D41" s="414"/>
      <c r="E41" s="35"/>
      <c r="F41" s="30"/>
      <c r="G41" s="45"/>
      <c r="H41" s="32"/>
      <c r="I41" s="36"/>
      <c r="J41" s="250"/>
      <c r="K41" s="433"/>
      <c r="L41" s="61"/>
      <c r="M41" s="65">
        <v>22</v>
      </c>
      <c r="N41" s="83"/>
      <c r="O41" s="372"/>
      <c r="P41" s="373"/>
      <c r="Q41" s="35"/>
      <c r="R41" s="30"/>
      <c r="S41" s="45"/>
      <c r="T41" s="32"/>
      <c r="U41" s="36"/>
      <c r="V41" s="250"/>
      <c r="W41" s="433"/>
      <c r="X41" s="39"/>
      <c r="Y41" s="65">
        <v>22</v>
      </c>
      <c r="Z41" s="83"/>
      <c r="AA41" s="54"/>
      <c r="AB41" s="55"/>
      <c r="AC41" s="35"/>
      <c r="AD41" s="30">
        <f t="shared" si="29"/>
        <v>104</v>
      </c>
      <c r="AE41" s="45"/>
      <c r="AF41" s="3"/>
      <c r="AG41" s="5"/>
      <c r="AH41" s="250"/>
      <c r="AI41" s="433"/>
      <c r="AJ41" s="205">
        <f t="shared" si="25"/>
        <v>0</v>
      </c>
      <c r="AK41" s="206">
        <f t="shared" si="26"/>
        <v>0</v>
      </c>
      <c r="AL41" s="216">
        <f t="shared" si="27"/>
        <v>0</v>
      </c>
      <c r="AM41" s="176">
        <f t="shared" si="28"/>
        <v>0</v>
      </c>
      <c r="AN41" s="39"/>
      <c r="AO41" s="26"/>
      <c r="AP41" s="26"/>
      <c r="AQ41" s="26"/>
      <c r="AR41" s="26"/>
      <c r="AS41" s="26"/>
      <c r="AT41" s="26"/>
      <c r="AU41" s="26"/>
      <c r="AV41" s="26"/>
    </row>
    <row r="42" spans="1:48" hidden="1" outlineLevel="2">
      <c r="A42" s="65">
        <v>23</v>
      </c>
      <c r="B42" s="145">
        <f t="shared" si="17"/>
        <v>0</v>
      </c>
      <c r="C42" s="413">
        <f t="shared" si="30"/>
        <v>0</v>
      </c>
      <c r="D42" s="414"/>
      <c r="E42" s="35"/>
      <c r="F42" s="30"/>
      <c r="G42" s="45"/>
      <c r="H42" s="32"/>
      <c r="I42" s="36"/>
      <c r="J42" s="250"/>
      <c r="K42" s="433"/>
      <c r="L42" s="61"/>
      <c r="M42" s="65">
        <v>23</v>
      </c>
      <c r="N42" s="83"/>
      <c r="O42" s="372"/>
      <c r="P42" s="373"/>
      <c r="Q42" s="35"/>
      <c r="R42" s="30"/>
      <c r="S42" s="45"/>
      <c r="T42" s="32"/>
      <c r="U42" s="36"/>
      <c r="V42" s="250"/>
      <c r="W42" s="433"/>
      <c r="X42" s="144"/>
      <c r="Y42" s="65">
        <v>23</v>
      </c>
      <c r="Z42" s="83"/>
      <c r="AA42" s="372"/>
      <c r="AB42" s="373"/>
      <c r="AC42" s="35"/>
      <c r="AD42" s="30">
        <f t="shared" si="29"/>
        <v>104</v>
      </c>
      <c r="AE42" s="45"/>
      <c r="AF42" s="3"/>
      <c r="AG42" s="5"/>
      <c r="AH42" s="250">
        <f t="shared" si="16"/>
        <v>0</v>
      </c>
      <c r="AI42" s="433"/>
      <c r="AJ42" s="205">
        <f t="shared" si="25"/>
        <v>0</v>
      </c>
      <c r="AK42" s="206">
        <f t="shared" si="26"/>
        <v>0</v>
      </c>
      <c r="AL42" s="216">
        <f t="shared" si="27"/>
        <v>0</v>
      </c>
      <c r="AM42" s="176">
        <f t="shared" si="28"/>
        <v>0</v>
      </c>
      <c r="AN42" s="39"/>
      <c r="AO42" s="26"/>
      <c r="AP42" s="26"/>
      <c r="AQ42" s="26"/>
      <c r="AR42" s="26"/>
      <c r="AS42" s="26"/>
      <c r="AT42" s="26"/>
      <c r="AU42" s="26"/>
      <c r="AV42" s="26"/>
    </row>
    <row r="43" spans="1:48" ht="18.75" customHeight="1" outlineLevel="2">
      <c r="A43" s="438" t="s">
        <v>41</v>
      </c>
      <c r="B43" s="439"/>
      <c r="C43" s="439"/>
      <c r="D43" s="439"/>
      <c r="E43" s="439"/>
      <c r="F43" s="439"/>
      <c r="G43" s="439"/>
      <c r="H43" s="439"/>
      <c r="I43" s="440"/>
      <c r="J43" s="251">
        <f>SUM(J20:J42)</f>
        <v>673.07692307692309</v>
      </c>
      <c r="K43" s="434"/>
      <c r="L43" s="61"/>
      <c r="M43" s="415" t="s">
        <v>41</v>
      </c>
      <c r="N43" s="416"/>
      <c r="O43" s="416"/>
      <c r="P43" s="416"/>
      <c r="Q43" s="416"/>
      <c r="R43" s="416"/>
      <c r="S43" s="416"/>
      <c r="T43" s="416"/>
      <c r="U43" s="417"/>
      <c r="V43" s="251">
        <f>SUM(V20:V42)</f>
        <v>673.07692307692309</v>
      </c>
      <c r="W43" s="434"/>
      <c r="X43" s="39"/>
      <c r="Y43" s="415" t="s">
        <v>41</v>
      </c>
      <c r="Z43" s="416"/>
      <c r="AA43" s="416"/>
      <c r="AB43" s="416"/>
      <c r="AC43" s="416"/>
      <c r="AD43" s="416"/>
      <c r="AE43" s="416"/>
      <c r="AF43" s="416"/>
      <c r="AG43" s="417"/>
      <c r="AH43" s="251">
        <f>SUM(AH20:AH42)</f>
        <v>529.71153846153845</v>
      </c>
      <c r="AI43" s="434"/>
      <c r="AJ43" s="13">
        <f>AH43*AD42+R33*V43+F33*J43</f>
        <v>125089.99999999999</v>
      </c>
      <c r="AK43" s="147">
        <f>SUM(AK20:AK38)</f>
        <v>70000</v>
      </c>
      <c r="AL43" s="147">
        <f>SUM(AL20:AL38)</f>
        <v>55090</v>
      </c>
      <c r="AM43" s="13"/>
      <c r="AN43" s="39"/>
      <c r="AO43" s="26"/>
      <c r="AP43" s="26"/>
      <c r="AQ43" s="26"/>
      <c r="AR43" s="26"/>
      <c r="AS43" s="26"/>
      <c r="AT43" s="207"/>
      <c r="AU43" s="26"/>
      <c r="AV43" s="26"/>
    </row>
    <row r="44" spans="1:48" s="34" customFormat="1" outlineLevel="2">
      <c r="A44" s="389"/>
      <c r="B44" s="390"/>
      <c r="C44" s="390"/>
      <c r="D44" s="390"/>
      <c r="E44" s="390"/>
      <c r="F44" s="390"/>
      <c r="G44" s="390"/>
      <c r="H44" s="390"/>
      <c r="I44" s="390"/>
      <c r="J44" s="390"/>
      <c r="K44" s="391"/>
      <c r="L44" s="61"/>
      <c r="M44" s="69"/>
      <c r="N44" s="37"/>
      <c r="O44" s="37"/>
      <c r="P44" s="37"/>
      <c r="Q44" s="37"/>
      <c r="R44" s="37"/>
      <c r="S44" s="37"/>
      <c r="T44" s="37"/>
      <c r="U44" s="38"/>
      <c r="V44" s="263"/>
      <c r="W44" s="70"/>
      <c r="X44" s="39"/>
      <c r="Y44" s="69"/>
      <c r="Z44" s="37"/>
      <c r="AA44" s="37"/>
      <c r="AB44" s="37"/>
      <c r="AC44" s="37"/>
      <c r="AD44" s="37"/>
      <c r="AE44" s="37"/>
      <c r="AF44" s="37"/>
      <c r="AG44" s="38"/>
      <c r="AH44" s="263"/>
      <c r="AI44" s="70"/>
      <c r="AJ44" s="143">
        <f>AJ43-AK43-AL43</f>
        <v>0</v>
      </c>
      <c r="AK44" s="225">
        <f>AF154</f>
        <v>70000</v>
      </c>
      <c r="AL44" s="225">
        <f>AE154</f>
        <v>55090</v>
      </c>
      <c r="AM44" s="39"/>
      <c r="AN44" s="161"/>
      <c r="AO44" s="26"/>
      <c r="AP44" s="207"/>
      <c r="AQ44" s="26"/>
      <c r="AR44" s="26"/>
      <c r="AS44" s="26"/>
      <c r="AT44" s="26"/>
      <c r="AU44" s="26"/>
      <c r="AV44" s="26"/>
    </row>
    <row r="45" spans="1:48" s="6" customFormat="1" ht="68.25" customHeight="1">
      <c r="A45" s="90" t="s">
        <v>1</v>
      </c>
      <c r="B45" s="91" t="s">
        <v>3</v>
      </c>
      <c r="C45" s="420"/>
      <c r="D45" s="421"/>
      <c r="E45" s="91" t="s">
        <v>58</v>
      </c>
      <c r="F45" s="91" t="s">
        <v>2</v>
      </c>
      <c r="G45" s="88" t="s">
        <v>53</v>
      </c>
      <c r="H45" s="88" t="s">
        <v>56</v>
      </c>
      <c r="I45" s="88" t="s">
        <v>69</v>
      </c>
      <c r="J45" s="249" t="s">
        <v>5</v>
      </c>
      <c r="K45" s="89" t="s">
        <v>0</v>
      </c>
      <c r="L45" s="57"/>
      <c r="M45" s="90" t="s">
        <v>1</v>
      </c>
      <c r="N45" s="91" t="s">
        <v>3</v>
      </c>
      <c r="O45" s="420"/>
      <c r="P45" s="421"/>
      <c r="Q45" s="91" t="s">
        <v>58</v>
      </c>
      <c r="R45" s="91" t="s">
        <v>2</v>
      </c>
      <c r="S45" s="88" t="s">
        <v>53</v>
      </c>
      <c r="T45" s="88" t="s">
        <v>56</v>
      </c>
      <c r="U45" s="88" t="s">
        <v>69</v>
      </c>
      <c r="V45" s="249" t="s">
        <v>5</v>
      </c>
      <c r="W45" s="89" t="s">
        <v>0</v>
      </c>
      <c r="X45" s="72"/>
      <c r="Y45" s="90" t="s">
        <v>1</v>
      </c>
      <c r="Z45" s="91" t="s">
        <v>3</v>
      </c>
      <c r="AA45" s="420"/>
      <c r="AB45" s="421"/>
      <c r="AC45" s="91" t="s">
        <v>58</v>
      </c>
      <c r="AD45" s="91" t="s">
        <v>2</v>
      </c>
      <c r="AE45" s="88" t="s">
        <v>53</v>
      </c>
      <c r="AF45" s="88" t="s">
        <v>56</v>
      </c>
      <c r="AG45" s="88" t="s">
        <v>69</v>
      </c>
      <c r="AH45" s="249" t="s">
        <v>5</v>
      </c>
      <c r="AI45" s="89" t="s">
        <v>0</v>
      </c>
      <c r="AJ45" s="10"/>
      <c r="AK45" s="133">
        <f>AK44-AK43</f>
        <v>0</v>
      </c>
      <c r="AL45" s="133">
        <f>AL44-AL43</f>
        <v>0</v>
      </c>
      <c r="AM45" s="10"/>
      <c r="AN45" s="72"/>
      <c r="AO45" s="209"/>
      <c r="AP45" s="209"/>
      <c r="AQ45" s="209"/>
      <c r="AR45" s="209"/>
      <c r="AS45" s="209"/>
      <c r="AT45" s="209"/>
      <c r="AU45" s="209"/>
      <c r="AV45" s="209"/>
    </row>
    <row r="46" spans="1:48">
      <c r="A46" s="87">
        <v>1</v>
      </c>
      <c r="B46" s="88">
        <v>2</v>
      </c>
      <c r="C46" s="422"/>
      <c r="D46" s="423"/>
      <c r="E46" s="88">
        <v>3</v>
      </c>
      <c r="F46" s="88">
        <v>4</v>
      </c>
      <c r="G46" s="88" t="s">
        <v>71</v>
      </c>
      <c r="H46" s="88">
        <v>6</v>
      </c>
      <c r="I46" s="88">
        <v>7</v>
      </c>
      <c r="J46" s="249" t="s">
        <v>55</v>
      </c>
      <c r="K46" s="89">
        <v>9</v>
      </c>
      <c r="L46" s="57"/>
      <c r="M46" s="87">
        <v>1</v>
      </c>
      <c r="N46" s="88">
        <v>2</v>
      </c>
      <c r="O46" s="422"/>
      <c r="P46" s="423"/>
      <c r="Q46" s="88">
        <v>3</v>
      </c>
      <c r="R46" s="88">
        <v>4</v>
      </c>
      <c r="S46" s="88" t="s">
        <v>71</v>
      </c>
      <c r="T46" s="88">
        <v>6</v>
      </c>
      <c r="U46" s="88">
        <v>7</v>
      </c>
      <c r="V46" s="249" t="s">
        <v>55</v>
      </c>
      <c r="W46" s="89">
        <v>9</v>
      </c>
      <c r="X46" s="72"/>
      <c r="Y46" s="87">
        <v>1</v>
      </c>
      <c r="Z46" s="88">
        <v>2</v>
      </c>
      <c r="AA46" s="422"/>
      <c r="AB46" s="423"/>
      <c r="AC46" s="88">
        <v>3</v>
      </c>
      <c r="AD46" s="88">
        <v>4</v>
      </c>
      <c r="AE46" s="88" t="s">
        <v>71</v>
      </c>
      <c r="AF46" s="88">
        <v>6</v>
      </c>
      <c r="AG46" s="88">
        <v>7</v>
      </c>
      <c r="AH46" s="249" t="s">
        <v>55</v>
      </c>
      <c r="AI46" s="89">
        <v>9</v>
      </c>
      <c r="AJ46" s="10"/>
      <c r="AK46" s="190"/>
      <c r="AL46" s="133">
        <v>7588</v>
      </c>
      <c r="AM46" s="10"/>
      <c r="AN46" s="10"/>
    </row>
    <row r="47" spans="1:48" ht="19.5">
      <c r="A47" s="424" t="s">
        <v>8</v>
      </c>
      <c r="B47" s="425"/>
      <c r="C47" s="425"/>
      <c r="D47" s="425"/>
      <c r="E47" s="425"/>
      <c r="F47" s="425"/>
      <c r="G47" s="425"/>
      <c r="H47" s="425"/>
      <c r="I47" s="425"/>
      <c r="J47" s="425"/>
      <c r="K47" s="426"/>
      <c r="L47" s="58"/>
      <c r="M47" s="424" t="s">
        <v>8</v>
      </c>
      <c r="N47" s="425"/>
      <c r="O47" s="425"/>
      <c r="P47" s="425"/>
      <c r="Q47" s="425"/>
      <c r="R47" s="425"/>
      <c r="S47" s="425"/>
      <c r="T47" s="425"/>
      <c r="U47" s="425"/>
      <c r="V47" s="425"/>
      <c r="W47" s="426"/>
      <c r="X47" s="73"/>
      <c r="Y47" s="424" t="s">
        <v>8</v>
      </c>
      <c r="Z47" s="425"/>
      <c r="AA47" s="425"/>
      <c r="AB47" s="425"/>
      <c r="AC47" s="425"/>
      <c r="AD47" s="425"/>
      <c r="AE47" s="425"/>
      <c r="AF47" s="425"/>
      <c r="AG47" s="425"/>
      <c r="AH47" s="425"/>
      <c r="AI47" s="426"/>
      <c r="AJ47" s="11"/>
      <c r="AK47" s="134"/>
      <c r="AL47" s="214"/>
      <c r="AM47" s="11"/>
      <c r="AN47" s="11"/>
    </row>
    <row r="48" spans="1:48" ht="19.5" outlineLevel="2">
      <c r="A48" s="98">
        <v>1</v>
      </c>
      <c r="B48" s="99" t="s">
        <v>84</v>
      </c>
      <c r="C48" s="413" t="s">
        <v>122</v>
      </c>
      <c r="D48" s="414"/>
      <c r="E48" s="28">
        <f>15/104*F48</f>
        <v>2.5961538461538458</v>
      </c>
      <c r="F48" s="30">
        <f>F9</f>
        <v>18</v>
      </c>
      <c r="G48" s="78">
        <f>E48/F48</f>
        <v>0.14423076923076922</v>
      </c>
      <c r="H48" s="32">
        <v>1</v>
      </c>
      <c r="I48" s="5">
        <f>U48</f>
        <v>2500</v>
      </c>
      <c r="J48" s="250">
        <f>IFERROR(G48*I48/H48,0)</f>
        <v>360.57692307692304</v>
      </c>
      <c r="K48" s="392" t="s">
        <v>57</v>
      </c>
      <c r="L48" s="58"/>
      <c r="M48" s="98">
        <v>1</v>
      </c>
      <c r="N48" s="99" t="s">
        <v>84</v>
      </c>
      <c r="O48" s="413" t="s">
        <v>122</v>
      </c>
      <c r="P48" s="414"/>
      <c r="Q48" s="28">
        <f>15/104*R48</f>
        <v>12.403846153846153</v>
      </c>
      <c r="R48" s="30">
        <f>R9</f>
        <v>86</v>
      </c>
      <c r="S48" s="78">
        <f t="shared" ref="S48:S50" si="35">Q48/R48</f>
        <v>0.14423076923076922</v>
      </c>
      <c r="T48" s="32">
        <v>1</v>
      </c>
      <c r="U48" s="5">
        <v>2500</v>
      </c>
      <c r="V48" s="250">
        <f t="shared" ref="V48:V50" si="36">IFERROR(S48*U48/T48,0)</f>
        <v>360.57692307692304</v>
      </c>
      <c r="W48" s="392" t="s">
        <v>57</v>
      </c>
      <c r="X48" s="73"/>
      <c r="Y48" s="98">
        <v>1</v>
      </c>
      <c r="Z48" s="99"/>
      <c r="AA48" s="413"/>
      <c r="AB48" s="414"/>
      <c r="AC48" s="28"/>
      <c r="AD48" s="30"/>
      <c r="AE48" s="78"/>
      <c r="AF48" s="3"/>
      <c r="AG48" s="5"/>
      <c r="AH48" s="250"/>
      <c r="AI48" s="392" t="s">
        <v>57</v>
      </c>
      <c r="AJ48" s="215">
        <f>AC48+Q48+E48</f>
        <v>15</v>
      </c>
      <c r="AK48" s="135">
        <f>AH48*AC48+V48*R48+J48*F48</f>
        <v>37500</v>
      </c>
      <c r="AL48" s="218">
        <v>37500</v>
      </c>
      <c r="AM48" s="217"/>
      <c r="AN48" s="26">
        <v>226</v>
      </c>
      <c r="AO48" s="26"/>
      <c r="AQ48" s="26"/>
      <c r="AR48" s="26"/>
      <c r="AS48" s="26"/>
    </row>
    <row r="49" spans="1:46" ht="30" outlineLevel="2">
      <c r="A49" s="98">
        <v>2</v>
      </c>
      <c r="B49" s="99" t="s">
        <v>85</v>
      </c>
      <c r="C49" s="413" t="s">
        <v>122</v>
      </c>
      <c r="D49" s="414"/>
      <c r="E49" s="28">
        <f>5/104*F49</f>
        <v>0.86538461538461542</v>
      </c>
      <c r="F49" s="30">
        <f>F10</f>
        <v>18</v>
      </c>
      <c r="G49" s="78">
        <f t="shared" ref="G49:G50" si="37">E49/F49</f>
        <v>4.807692307692308E-2</v>
      </c>
      <c r="H49" s="32">
        <v>1</v>
      </c>
      <c r="I49" s="5">
        <f t="shared" ref="I49:I50" si="38">U49</f>
        <v>2250</v>
      </c>
      <c r="J49" s="250">
        <f t="shared" ref="J49:J50" si="39">IFERROR(G49*I49/H49,0)</f>
        <v>108.17307692307693</v>
      </c>
      <c r="K49" s="393"/>
      <c r="L49" s="58"/>
      <c r="M49" s="98">
        <v>2</v>
      </c>
      <c r="N49" s="99" t="s">
        <v>85</v>
      </c>
      <c r="O49" s="413" t="s">
        <v>122</v>
      </c>
      <c r="P49" s="414"/>
      <c r="Q49" s="28">
        <f>5/104*R49</f>
        <v>4.134615384615385</v>
      </c>
      <c r="R49" s="30">
        <f>R10</f>
        <v>86</v>
      </c>
      <c r="S49" s="78">
        <f t="shared" si="35"/>
        <v>4.807692307692308E-2</v>
      </c>
      <c r="T49" s="32">
        <v>1</v>
      </c>
      <c r="U49" s="5">
        <v>2250</v>
      </c>
      <c r="V49" s="250">
        <f t="shared" si="36"/>
        <v>108.17307692307693</v>
      </c>
      <c r="W49" s="393"/>
      <c r="X49" s="73"/>
      <c r="Y49" s="98">
        <v>2</v>
      </c>
      <c r="Z49" s="99"/>
      <c r="AA49" s="413"/>
      <c r="AB49" s="414"/>
      <c r="AC49" s="28"/>
      <c r="AD49" s="30"/>
      <c r="AE49" s="78"/>
      <c r="AF49" s="3"/>
      <c r="AG49" s="5"/>
      <c r="AH49" s="250"/>
      <c r="AI49" s="393"/>
      <c r="AJ49" s="215">
        <f t="shared" ref="AJ49:AJ50" si="40">AC49+Q49+E49</f>
        <v>5</v>
      </c>
      <c r="AK49" s="135">
        <f t="shared" ref="AK49:AK50" si="41">AH49*AC49+V49*R49+J49*F49</f>
        <v>11250.000000000002</v>
      </c>
      <c r="AL49" s="218">
        <f>AF144</f>
        <v>11250</v>
      </c>
      <c r="AM49" s="14"/>
      <c r="AN49" s="26">
        <v>212</v>
      </c>
      <c r="AO49" s="212"/>
      <c r="AQ49" s="26"/>
      <c r="AR49" s="26"/>
      <c r="AS49" s="26"/>
    </row>
    <row r="50" spans="1:46" ht="30" outlineLevel="2">
      <c r="A50" s="98">
        <v>3</v>
      </c>
      <c r="B50" s="99" t="s">
        <v>120</v>
      </c>
      <c r="C50" s="413" t="s">
        <v>48</v>
      </c>
      <c r="D50" s="414"/>
      <c r="E50" s="28">
        <f>1/104*F50</f>
        <v>0.17307692307692307</v>
      </c>
      <c r="F50" s="30">
        <f>F49</f>
        <v>18</v>
      </c>
      <c r="G50" s="78">
        <f t="shared" si="37"/>
        <v>9.6153846153846159E-3</v>
      </c>
      <c r="H50" s="32">
        <v>1</v>
      </c>
      <c r="I50" s="5">
        <f t="shared" si="38"/>
        <v>7500</v>
      </c>
      <c r="J50" s="250">
        <f t="shared" si="39"/>
        <v>72.115384615384613</v>
      </c>
      <c r="K50" s="393"/>
      <c r="L50" s="58"/>
      <c r="M50" s="98">
        <v>3</v>
      </c>
      <c r="N50" s="99" t="s">
        <v>120</v>
      </c>
      <c r="O50" s="413" t="s">
        <v>48</v>
      </c>
      <c r="P50" s="414"/>
      <c r="Q50" s="28">
        <f>1/104*R50</f>
        <v>0.82692307692307698</v>
      </c>
      <c r="R50" s="30">
        <f>R49</f>
        <v>86</v>
      </c>
      <c r="S50" s="78">
        <f t="shared" si="35"/>
        <v>9.6153846153846159E-3</v>
      </c>
      <c r="T50" s="32">
        <v>1</v>
      </c>
      <c r="U50" s="5">
        <v>7500</v>
      </c>
      <c r="V50" s="250">
        <f t="shared" si="36"/>
        <v>72.115384615384613</v>
      </c>
      <c r="W50" s="393"/>
      <c r="X50" s="73"/>
      <c r="Y50" s="98">
        <v>3</v>
      </c>
      <c r="Z50" s="99"/>
      <c r="AA50" s="413"/>
      <c r="AB50" s="414"/>
      <c r="AC50" s="28"/>
      <c r="AD50" s="30"/>
      <c r="AE50" s="78"/>
      <c r="AF50" s="3"/>
      <c r="AG50" s="5"/>
      <c r="AH50" s="250"/>
      <c r="AI50" s="393"/>
      <c r="AJ50" s="215">
        <f t="shared" si="40"/>
        <v>1</v>
      </c>
      <c r="AK50" s="135">
        <f t="shared" si="41"/>
        <v>7500</v>
      </c>
      <c r="AL50" s="218">
        <v>7500</v>
      </c>
      <c r="AM50" s="14"/>
      <c r="AN50" s="26">
        <v>226</v>
      </c>
      <c r="AO50" s="26"/>
      <c r="AQ50" s="26"/>
      <c r="AR50" s="26"/>
      <c r="AS50" s="26"/>
    </row>
    <row r="51" spans="1:46" outlineLevel="2">
      <c r="A51" s="415" t="s">
        <v>42</v>
      </c>
      <c r="B51" s="416"/>
      <c r="C51" s="416"/>
      <c r="D51" s="416"/>
      <c r="E51" s="416"/>
      <c r="F51" s="416"/>
      <c r="G51" s="416"/>
      <c r="H51" s="416"/>
      <c r="I51" s="417"/>
      <c r="J51" s="251">
        <f>SUM(J48:J50)</f>
        <v>540.86538461538464</v>
      </c>
      <c r="K51" s="393"/>
      <c r="L51" s="61"/>
      <c r="M51" s="415" t="s">
        <v>42</v>
      </c>
      <c r="N51" s="416"/>
      <c r="O51" s="416"/>
      <c r="P51" s="416"/>
      <c r="Q51" s="416"/>
      <c r="R51" s="416"/>
      <c r="S51" s="416"/>
      <c r="T51" s="416"/>
      <c r="U51" s="417"/>
      <c r="V51" s="251">
        <f>SUM(V48:V50)</f>
        <v>540.86538461538464</v>
      </c>
      <c r="W51" s="393"/>
      <c r="X51" s="39"/>
      <c r="Y51" s="415" t="s">
        <v>42</v>
      </c>
      <c r="Z51" s="416"/>
      <c r="AA51" s="416"/>
      <c r="AB51" s="416"/>
      <c r="AC51" s="416"/>
      <c r="AD51" s="416"/>
      <c r="AE51" s="416"/>
      <c r="AF51" s="416"/>
      <c r="AG51" s="417"/>
      <c r="AH51" s="251">
        <f>SUM(AH48:AH50)</f>
        <v>0</v>
      </c>
      <c r="AI51" s="393"/>
      <c r="AJ51" s="14">
        <f>AH51*AD48+V51*R48+J51*F48</f>
        <v>56250</v>
      </c>
      <c r="AK51" s="147">
        <f>SUM(AK48:AK50)</f>
        <v>56250</v>
      </c>
      <c r="AL51" s="226">
        <f>AF144+AF151</f>
        <v>56250</v>
      </c>
      <c r="AM51" s="162"/>
      <c r="AN51" s="14"/>
      <c r="AO51" s="212"/>
      <c r="AP51" s="26"/>
      <c r="AQ51" s="26"/>
      <c r="AR51" s="26"/>
      <c r="AS51" s="26"/>
    </row>
    <row r="52" spans="1:46" ht="18" customHeight="1">
      <c r="A52" s="403" t="s">
        <v>86</v>
      </c>
      <c r="B52" s="403"/>
      <c r="C52" s="403"/>
      <c r="D52" s="403"/>
      <c r="E52" s="403"/>
      <c r="F52" s="403"/>
      <c r="G52" s="403"/>
      <c r="H52" s="403"/>
      <c r="I52" s="403"/>
      <c r="J52" s="253">
        <f>J51+J43+J15</f>
        <v>73793.320512820501</v>
      </c>
      <c r="K52" s="394"/>
      <c r="M52" s="402" t="s">
        <v>86</v>
      </c>
      <c r="N52" s="403"/>
      <c r="O52" s="403"/>
      <c r="P52" s="403"/>
      <c r="Q52" s="403"/>
      <c r="R52" s="403"/>
      <c r="S52" s="403"/>
      <c r="T52" s="403"/>
      <c r="U52" s="403"/>
      <c r="V52" s="253">
        <f>V51+V43+V15</f>
        <v>76242.560822898027</v>
      </c>
      <c r="W52" s="394"/>
      <c r="Y52" s="403" t="s">
        <v>86</v>
      </c>
      <c r="Z52" s="403"/>
      <c r="AA52" s="403"/>
      <c r="AB52" s="403"/>
      <c r="AC52" s="403"/>
      <c r="AD52" s="403"/>
      <c r="AE52" s="403"/>
      <c r="AF52" s="403"/>
      <c r="AG52" s="403"/>
      <c r="AH52" s="253">
        <f>AH51+AH43+AH15</f>
        <v>38861.819423077017</v>
      </c>
      <c r="AI52" s="394"/>
      <c r="AJ52" s="146">
        <f>AK51-AJ51</f>
        <v>0</v>
      </c>
      <c r="AK52" s="138">
        <f>AL51-AK51</f>
        <v>0</v>
      </c>
      <c r="AL52" s="152"/>
      <c r="AM52" s="15"/>
      <c r="AN52" s="15"/>
      <c r="AO52" s="213"/>
      <c r="AP52" s="26"/>
      <c r="AQ52" s="212"/>
      <c r="AR52" s="26"/>
      <c r="AS52" s="26"/>
    </row>
    <row r="53" spans="1:46" ht="56.25">
      <c r="A53" s="92" t="s">
        <v>9</v>
      </c>
      <c r="B53" s="93" t="s">
        <v>10</v>
      </c>
      <c r="C53" s="93" t="s">
        <v>26</v>
      </c>
      <c r="D53" s="93" t="s">
        <v>18</v>
      </c>
      <c r="E53" s="94" t="s">
        <v>2</v>
      </c>
      <c r="F53" s="93" t="s">
        <v>76</v>
      </c>
      <c r="G53" s="93" t="s">
        <v>49</v>
      </c>
      <c r="H53" s="93" t="s">
        <v>70</v>
      </c>
      <c r="I53" s="93" t="s">
        <v>21</v>
      </c>
      <c r="J53" s="254" t="s">
        <v>11</v>
      </c>
      <c r="K53" s="95" t="s">
        <v>43</v>
      </c>
      <c r="L53" s="62"/>
      <c r="M53" s="92" t="s">
        <v>9</v>
      </c>
      <c r="N53" s="93" t="s">
        <v>10</v>
      </c>
      <c r="O53" s="93" t="s">
        <v>26</v>
      </c>
      <c r="P53" s="93" t="s">
        <v>18</v>
      </c>
      <c r="Q53" s="94" t="s">
        <v>2</v>
      </c>
      <c r="R53" s="93" t="s">
        <v>76</v>
      </c>
      <c r="S53" s="93" t="s">
        <v>49</v>
      </c>
      <c r="T53" s="93" t="s">
        <v>70</v>
      </c>
      <c r="U53" s="93" t="s">
        <v>21</v>
      </c>
      <c r="V53" s="254" t="s">
        <v>11</v>
      </c>
      <c r="W53" s="95" t="s">
        <v>43</v>
      </c>
      <c r="X53" s="74"/>
      <c r="Y53" s="92" t="s">
        <v>9</v>
      </c>
      <c r="Z53" s="93" t="s">
        <v>10</v>
      </c>
      <c r="AA53" s="93" t="s">
        <v>26</v>
      </c>
      <c r="AB53" s="93" t="s">
        <v>18</v>
      </c>
      <c r="AC53" s="94" t="s">
        <v>2</v>
      </c>
      <c r="AD53" s="93" t="s">
        <v>76</v>
      </c>
      <c r="AE53" s="93" t="s">
        <v>49</v>
      </c>
      <c r="AF53" s="93" t="s">
        <v>70</v>
      </c>
      <c r="AG53" s="93" t="s">
        <v>21</v>
      </c>
      <c r="AH53" s="254" t="s">
        <v>11</v>
      </c>
      <c r="AI53" s="95" t="s">
        <v>43</v>
      </c>
      <c r="AJ53" s="40"/>
      <c r="AK53" s="139"/>
      <c r="AL53" s="139"/>
      <c r="AO53" s="26"/>
      <c r="AP53" s="191"/>
      <c r="AQ53" s="26"/>
      <c r="AR53" s="26"/>
      <c r="AS53" s="26"/>
    </row>
    <row r="54" spans="1:46">
      <c r="A54" s="96">
        <v>1</v>
      </c>
      <c r="B54" s="97">
        <v>1</v>
      </c>
      <c r="C54" s="97">
        <v>2</v>
      </c>
      <c r="D54" s="97">
        <v>3</v>
      </c>
      <c r="E54" s="97">
        <v>4</v>
      </c>
      <c r="F54" s="97">
        <v>5</v>
      </c>
      <c r="G54" s="97" t="s">
        <v>59</v>
      </c>
      <c r="H54" s="97">
        <v>7</v>
      </c>
      <c r="I54" s="97">
        <v>8</v>
      </c>
      <c r="J54" s="255" t="s">
        <v>89</v>
      </c>
      <c r="K54" s="111">
        <v>10</v>
      </c>
      <c r="L54" s="62"/>
      <c r="M54" s="96">
        <v>1</v>
      </c>
      <c r="N54" s="97">
        <v>1</v>
      </c>
      <c r="O54" s="97">
        <v>2</v>
      </c>
      <c r="P54" s="97">
        <v>3</v>
      </c>
      <c r="Q54" s="97">
        <v>4</v>
      </c>
      <c r="R54" s="97">
        <v>5</v>
      </c>
      <c r="S54" s="97" t="s">
        <v>59</v>
      </c>
      <c r="T54" s="97">
        <v>7</v>
      </c>
      <c r="U54" s="97">
        <v>8</v>
      </c>
      <c r="V54" s="255" t="s">
        <v>89</v>
      </c>
      <c r="W54" s="111">
        <v>10</v>
      </c>
      <c r="X54" s="74"/>
      <c r="Y54" s="96">
        <v>1</v>
      </c>
      <c r="Z54" s="97">
        <v>1</v>
      </c>
      <c r="AA54" s="97">
        <v>2</v>
      </c>
      <c r="AB54" s="97">
        <v>3</v>
      </c>
      <c r="AC54" s="97">
        <v>4</v>
      </c>
      <c r="AD54" s="97">
        <v>5</v>
      </c>
      <c r="AE54" s="97" t="s">
        <v>59</v>
      </c>
      <c r="AF54" s="97">
        <v>7</v>
      </c>
      <c r="AG54" s="97">
        <v>8</v>
      </c>
      <c r="AH54" s="255" t="s">
        <v>89</v>
      </c>
      <c r="AI54" s="111">
        <v>10</v>
      </c>
      <c r="AJ54" s="40"/>
      <c r="AK54" s="139"/>
      <c r="AL54" s="139"/>
    </row>
    <row r="55" spans="1:46" ht="15" customHeight="1">
      <c r="A55" s="410" t="s">
        <v>12</v>
      </c>
      <c r="B55" s="411"/>
      <c r="C55" s="411"/>
      <c r="D55" s="411"/>
      <c r="E55" s="411"/>
      <c r="F55" s="411"/>
      <c r="G55" s="411"/>
      <c r="H55" s="411"/>
      <c r="I55" s="411"/>
      <c r="J55" s="411"/>
      <c r="K55" s="412"/>
      <c r="L55" s="63"/>
      <c r="M55" s="410" t="s">
        <v>12</v>
      </c>
      <c r="N55" s="411"/>
      <c r="O55" s="411"/>
      <c r="P55" s="411"/>
      <c r="Q55" s="411"/>
      <c r="R55" s="411"/>
      <c r="S55" s="411"/>
      <c r="T55" s="411"/>
      <c r="U55" s="411"/>
      <c r="V55" s="411"/>
      <c r="W55" s="412"/>
      <c r="X55" s="75"/>
      <c r="Y55" s="410" t="s">
        <v>12</v>
      </c>
      <c r="Z55" s="411"/>
      <c r="AA55" s="411"/>
      <c r="AB55" s="411"/>
      <c r="AC55" s="411"/>
      <c r="AD55" s="411"/>
      <c r="AE55" s="411"/>
      <c r="AF55" s="411"/>
      <c r="AG55" s="411"/>
      <c r="AH55" s="411"/>
      <c r="AI55" s="412"/>
      <c r="AJ55" s="41" t="s">
        <v>211</v>
      </c>
      <c r="AK55" s="140"/>
      <c r="AL55" s="276"/>
      <c r="AS55" s="16"/>
    </row>
    <row r="56" spans="1:46">
      <c r="A56" s="100">
        <v>1</v>
      </c>
      <c r="B56" s="101" t="s">
        <v>16</v>
      </c>
      <c r="C56" s="27" t="s">
        <v>45</v>
      </c>
      <c r="D56" s="79">
        <f>AJ56/208*E56</f>
        <v>3867.1441684448623</v>
      </c>
      <c r="E56" s="28">
        <f>F48</f>
        <v>18</v>
      </c>
      <c r="F56" s="29">
        <v>1</v>
      </c>
      <c r="G56" s="80">
        <f>D56*F56/E56</f>
        <v>214.84134269138124</v>
      </c>
      <c r="H56" s="155">
        <f>T56</f>
        <v>8.0533999999999999</v>
      </c>
      <c r="I56" s="4"/>
      <c r="J56" s="256">
        <f>H56*G56</f>
        <v>1730.2032692307696</v>
      </c>
      <c r="K56" s="380"/>
      <c r="L56" s="64"/>
      <c r="M56" s="100">
        <v>1</v>
      </c>
      <c r="N56" s="101" t="s">
        <v>16</v>
      </c>
      <c r="O56" s="27" t="s">
        <v>45</v>
      </c>
      <c r="P56" s="79">
        <f>AJ56/208*Q56</f>
        <v>18476.355471458788</v>
      </c>
      <c r="Q56" s="28">
        <f>R48</f>
        <v>86</v>
      </c>
      <c r="R56" s="29">
        <v>1</v>
      </c>
      <c r="S56" s="80">
        <f>P56*R56/Q56</f>
        <v>214.84134269138124</v>
      </c>
      <c r="T56" s="155">
        <f>AF56</f>
        <v>8.0533999999999999</v>
      </c>
      <c r="U56" s="4"/>
      <c r="V56" s="256">
        <f>T56*S56</f>
        <v>1730.2032692307696</v>
      </c>
      <c r="W56" s="419">
        <f>AL62</f>
        <v>0</v>
      </c>
      <c r="X56" s="76"/>
      <c r="Y56" s="100">
        <v>1</v>
      </c>
      <c r="Z56" s="101" t="s">
        <v>16</v>
      </c>
      <c r="AA56" s="27" t="s">
        <v>45</v>
      </c>
      <c r="AB56" s="79">
        <f>AJ56/208*AC56</f>
        <v>22343.49963990365</v>
      </c>
      <c r="AC56" s="28">
        <f>AD42</f>
        <v>104</v>
      </c>
      <c r="AD56" s="29">
        <v>1</v>
      </c>
      <c r="AE56" s="80">
        <f>AB56*AD56/AC56</f>
        <v>214.84134269138124</v>
      </c>
      <c r="AF56" s="155">
        <v>8.0533999999999999</v>
      </c>
      <c r="AG56" s="4"/>
      <c r="AH56" s="256">
        <f>AF56*AE56</f>
        <v>1730.2032692307696</v>
      </c>
      <c r="AI56" s="380"/>
      <c r="AJ56" s="219">
        <v>44686.9992798073</v>
      </c>
      <c r="AK56" s="135">
        <f>AH56*AC56+V56*Q56+J56*E56</f>
        <v>359882.28000000014</v>
      </c>
      <c r="AL56" s="152">
        <v>359882.28</v>
      </c>
      <c r="AM56" s="224">
        <f>AL56-AK56</f>
        <v>0</v>
      </c>
      <c r="AO56" s="212"/>
      <c r="AP56" s="212"/>
      <c r="AQ56" s="212"/>
      <c r="AR56" s="212"/>
      <c r="AS56" s="212"/>
      <c r="AT56" s="26"/>
    </row>
    <row r="57" spans="1:46">
      <c r="A57" s="100">
        <v>2</v>
      </c>
      <c r="B57" s="101" t="s">
        <v>13</v>
      </c>
      <c r="C57" s="27" t="s">
        <v>121</v>
      </c>
      <c r="D57" s="79">
        <f>AJ57/208*E57</f>
        <v>27.885548130172005</v>
      </c>
      <c r="E57" s="28">
        <f>E56</f>
        <v>18</v>
      </c>
      <c r="F57" s="29">
        <v>1</v>
      </c>
      <c r="G57" s="80">
        <f>D57*F57/E57</f>
        <v>1.5491971183428892</v>
      </c>
      <c r="H57" s="155">
        <f t="shared" ref="H57:H59" si="42">T57</f>
        <v>3299.09</v>
      </c>
      <c r="I57" s="4"/>
      <c r="J57" s="256">
        <f>H57*G57</f>
        <v>5110.9407211538428</v>
      </c>
      <c r="K57" s="382"/>
      <c r="L57" s="64"/>
      <c r="M57" s="100">
        <v>2</v>
      </c>
      <c r="N57" s="101" t="s">
        <v>13</v>
      </c>
      <c r="O57" s="27" t="s">
        <v>121</v>
      </c>
      <c r="P57" s="79">
        <f>AJ57/208*Q57</f>
        <v>133.23095217748846</v>
      </c>
      <c r="Q57" s="28">
        <f>Q56</f>
        <v>86</v>
      </c>
      <c r="R57" s="29">
        <v>1</v>
      </c>
      <c r="S57" s="80">
        <f>P57*R57/Q57</f>
        <v>1.549197118342889</v>
      </c>
      <c r="T57" s="155">
        <f t="shared" ref="T57:T59" si="43">AF57</f>
        <v>3299.09</v>
      </c>
      <c r="U57" s="4"/>
      <c r="V57" s="256">
        <f>T57*S57</f>
        <v>5110.9407211538419</v>
      </c>
      <c r="W57" s="382"/>
      <c r="X57" s="76"/>
      <c r="Y57" s="100">
        <v>2</v>
      </c>
      <c r="Z57" s="101" t="s">
        <v>13</v>
      </c>
      <c r="AA57" s="27" t="s">
        <v>121</v>
      </c>
      <c r="AB57" s="79">
        <f>AJ57/208*AC57</f>
        <v>161.11650030766049</v>
      </c>
      <c r="AC57" s="28">
        <f>AC56</f>
        <v>104</v>
      </c>
      <c r="AD57" s="29">
        <v>1</v>
      </c>
      <c r="AE57" s="80">
        <f>AB57*AD57/AC57</f>
        <v>1.5491971183428892</v>
      </c>
      <c r="AF57" s="155">
        <v>3299.09</v>
      </c>
      <c r="AG57" s="4"/>
      <c r="AH57" s="256">
        <f>AF57*AE57</f>
        <v>5110.9407211538428</v>
      </c>
      <c r="AI57" s="382"/>
      <c r="AJ57" s="219">
        <v>322.23300061532098</v>
      </c>
      <c r="AK57" s="135">
        <f>AH57*AC57+V57*Q57+J57*E57</f>
        <v>1063075.6699999992</v>
      </c>
      <c r="AL57" s="152">
        <v>1063075.67</v>
      </c>
      <c r="AM57" s="224">
        <f t="shared" ref="AM57:AM60" si="44">AL57-AK57</f>
        <v>0</v>
      </c>
      <c r="AO57" s="212"/>
      <c r="AP57" s="212"/>
      <c r="AQ57" s="212"/>
      <c r="AR57" s="212"/>
      <c r="AS57" s="212"/>
      <c r="AT57" s="26"/>
    </row>
    <row r="58" spans="1:46">
      <c r="A58" s="100">
        <v>3</v>
      </c>
      <c r="B58" s="101" t="s">
        <v>14</v>
      </c>
      <c r="C58" s="27" t="s">
        <v>44</v>
      </c>
      <c r="D58" s="79">
        <f>AJ58/208*E58</f>
        <v>94.827634459036872</v>
      </c>
      <c r="E58" s="28">
        <f>E57</f>
        <v>18</v>
      </c>
      <c r="F58" s="29">
        <v>1</v>
      </c>
      <c r="G58" s="80">
        <f>D58*F58/E58</f>
        <v>5.2682019143909375</v>
      </c>
      <c r="H58" s="155">
        <f t="shared" si="42"/>
        <v>110.75</v>
      </c>
      <c r="I58" s="4"/>
      <c r="J58" s="256">
        <f>H58*G58</f>
        <v>583.45336201879638</v>
      </c>
      <c r="K58" s="382"/>
      <c r="L58" s="64"/>
      <c r="M58" s="100">
        <v>3</v>
      </c>
      <c r="N58" s="101" t="s">
        <v>14</v>
      </c>
      <c r="O58" s="27" t="s">
        <v>44</v>
      </c>
      <c r="P58" s="79">
        <f>AJ58/208*Q58</f>
        <v>453.06536463762063</v>
      </c>
      <c r="Q58" s="28">
        <f>Q57</f>
        <v>86</v>
      </c>
      <c r="R58" s="29">
        <v>1</v>
      </c>
      <c r="S58" s="80">
        <f>P58*R58/Q58</f>
        <v>5.2682019143909375</v>
      </c>
      <c r="T58" s="155">
        <f t="shared" si="43"/>
        <v>110.75</v>
      </c>
      <c r="U58" s="4"/>
      <c r="V58" s="256">
        <f>T58*S58</f>
        <v>583.45336201879638</v>
      </c>
      <c r="W58" s="382"/>
      <c r="X58" s="76"/>
      <c r="Y58" s="100">
        <v>3</v>
      </c>
      <c r="Z58" s="101" t="s">
        <v>14</v>
      </c>
      <c r="AA58" s="27" t="s">
        <v>44</v>
      </c>
      <c r="AB58" s="79">
        <f>AJ58/208*AC58</f>
        <v>547.89299909665749</v>
      </c>
      <c r="AC58" s="28">
        <f>AC57</f>
        <v>104</v>
      </c>
      <c r="AD58" s="29">
        <v>1</v>
      </c>
      <c r="AE58" s="80">
        <f>AB58*AD58/AC58</f>
        <v>5.2682019143909375</v>
      </c>
      <c r="AF58" s="155">
        <v>110.75</v>
      </c>
      <c r="AG58" s="4"/>
      <c r="AH58" s="256">
        <f>AF58*AE58</f>
        <v>583.45336201879638</v>
      </c>
      <c r="AI58" s="382"/>
      <c r="AJ58" s="219">
        <f>2191.57199638663/2</f>
        <v>1095.785998193315</v>
      </c>
      <c r="AK58" s="135">
        <f>AH58*AC58+V58*Q58+J58*E58</f>
        <v>121358.29929990965</v>
      </c>
      <c r="AL58" s="152">
        <v>242607.02</v>
      </c>
      <c r="AM58" s="224">
        <f>AL58-AK58-AK59</f>
        <v>0</v>
      </c>
      <c r="AO58" s="212"/>
      <c r="AP58" s="212"/>
      <c r="AQ58" s="212"/>
      <c r="AR58" s="212"/>
      <c r="AS58" s="212"/>
      <c r="AT58" s="26"/>
    </row>
    <row r="59" spans="1:46">
      <c r="A59" s="100">
        <v>4</v>
      </c>
      <c r="B59" s="101" t="s">
        <v>15</v>
      </c>
      <c r="C59" s="27" t="s">
        <v>44</v>
      </c>
      <c r="D59" s="79">
        <f>AJ59/208*E59</f>
        <v>94.827634459036872</v>
      </c>
      <c r="E59" s="28">
        <f>E58</f>
        <v>18</v>
      </c>
      <c r="F59" s="29">
        <v>1</v>
      </c>
      <c r="G59" s="80">
        <f>D59*F59/E59</f>
        <v>5.2682019143909375</v>
      </c>
      <c r="H59" s="155">
        <f t="shared" si="42"/>
        <v>110.65</v>
      </c>
      <c r="I59" s="4"/>
      <c r="J59" s="256">
        <f>H59*G59</f>
        <v>582.92654182735725</v>
      </c>
      <c r="K59" s="382"/>
      <c r="L59" s="64"/>
      <c r="M59" s="100">
        <v>4</v>
      </c>
      <c r="N59" s="101" t="s">
        <v>15</v>
      </c>
      <c r="O59" s="27" t="s">
        <v>44</v>
      </c>
      <c r="P59" s="79">
        <f>AJ59/208*Q59</f>
        <v>453.06536463762063</v>
      </c>
      <c r="Q59" s="28">
        <f>Q58</f>
        <v>86</v>
      </c>
      <c r="R59" s="29">
        <v>1</v>
      </c>
      <c r="S59" s="80">
        <f>P59*R59/Q59</f>
        <v>5.2682019143909375</v>
      </c>
      <c r="T59" s="155">
        <f t="shared" si="43"/>
        <v>110.65</v>
      </c>
      <c r="U59" s="4"/>
      <c r="V59" s="256">
        <f>T59*S59</f>
        <v>582.92654182735725</v>
      </c>
      <c r="W59" s="382"/>
      <c r="X59" s="76"/>
      <c r="Y59" s="100">
        <v>4</v>
      </c>
      <c r="Z59" s="101" t="s">
        <v>15</v>
      </c>
      <c r="AA59" s="27" t="s">
        <v>44</v>
      </c>
      <c r="AB59" s="79">
        <f>AJ59/208*AC59</f>
        <v>547.89299909665749</v>
      </c>
      <c r="AC59" s="28">
        <f>AC58</f>
        <v>104</v>
      </c>
      <c r="AD59" s="29">
        <v>1</v>
      </c>
      <c r="AE59" s="80">
        <f>AB59*AD59/AC59</f>
        <v>5.2682019143909375</v>
      </c>
      <c r="AF59" s="155">
        <v>110.65</v>
      </c>
      <c r="AG59" s="4"/>
      <c r="AH59" s="256">
        <f>AF59*AE59</f>
        <v>582.92654182735725</v>
      </c>
      <c r="AI59" s="382"/>
      <c r="AJ59" s="219">
        <f>AJ58</f>
        <v>1095.785998193315</v>
      </c>
      <c r="AK59" s="135">
        <f>AH59*AC59+V59*Q59+J59*E59</f>
        <v>121248.72070009031</v>
      </c>
      <c r="AL59" s="152"/>
      <c r="AM59" s="224"/>
      <c r="AO59" s="212"/>
      <c r="AP59" s="212"/>
      <c r="AQ59" s="212"/>
      <c r="AR59" s="212"/>
      <c r="AS59" s="212"/>
      <c r="AT59" s="26"/>
    </row>
    <row r="60" spans="1:46">
      <c r="A60" s="149">
        <f>M60</f>
        <v>5</v>
      </c>
      <c r="B60" s="310" t="str">
        <f t="shared" ref="B60:C60" si="45">N60</f>
        <v>ТКО</v>
      </c>
      <c r="C60" s="149" t="str">
        <f t="shared" si="45"/>
        <v>м3</v>
      </c>
      <c r="D60" s="79">
        <f>AJ60/208*E60</f>
        <v>2.3261537694829326</v>
      </c>
      <c r="E60" s="28">
        <f>E59</f>
        <v>18</v>
      </c>
      <c r="F60" s="29">
        <v>1</v>
      </c>
      <c r="G60" s="80">
        <f>D60*F60/E60</f>
        <v>0.12923076497127403</v>
      </c>
      <c r="H60" s="155">
        <f t="shared" ref="H60" si="46">T60</f>
        <v>2257.4</v>
      </c>
      <c r="I60" s="4"/>
      <c r="J60" s="256">
        <f>H60*G60</f>
        <v>291.72552884615402</v>
      </c>
      <c r="K60" s="382"/>
      <c r="L60" s="64"/>
      <c r="M60" s="100">
        <f>Y60</f>
        <v>5</v>
      </c>
      <c r="N60" s="310" t="str">
        <f t="shared" ref="N60:O60" si="47">Z60</f>
        <v>ТКО</v>
      </c>
      <c r="O60" s="149" t="str">
        <f t="shared" si="47"/>
        <v>м3</v>
      </c>
      <c r="P60" s="79">
        <f>AJ60/208*Q60</f>
        <v>11.113845787529566</v>
      </c>
      <c r="Q60" s="28">
        <f>Q59</f>
        <v>86</v>
      </c>
      <c r="R60" s="29">
        <v>1</v>
      </c>
      <c r="S60" s="80">
        <f>P60*R60/Q60</f>
        <v>0.12923076497127403</v>
      </c>
      <c r="T60" s="155">
        <f t="shared" ref="T60" si="48">AF60</f>
        <v>2257.4</v>
      </c>
      <c r="U60" s="4"/>
      <c r="V60" s="256">
        <f>T60*S60</f>
        <v>291.72552884615402</v>
      </c>
      <c r="W60" s="382"/>
      <c r="X60" s="76"/>
      <c r="Y60" s="100">
        <v>5</v>
      </c>
      <c r="Z60" s="154" t="s">
        <v>183</v>
      </c>
      <c r="AA60" s="27" t="s">
        <v>184</v>
      </c>
      <c r="AB60" s="79">
        <f>AJ60/208*AC60</f>
        <v>13.439999557012499</v>
      </c>
      <c r="AC60" s="28">
        <f>AC59</f>
        <v>104</v>
      </c>
      <c r="AD60" s="29">
        <v>1</v>
      </c>
      <c r="AE60" s="80">
        <f>AB60*AD60/AC60</f>
        <v>0.12923076497127403</v>
      </c>
      <c r="AF60" s="155">
        <v>2257.4</v>
      </c>
      <c r="AG60" s="4"/>
      <c r="AH60" s="256">
        <f>AF60*AE60</f>
        <v>291.72552884615402</v>
      </c>
      <c r="AI60" s="382"/>
      <c r="AJ60" s="219">
        <v>26.879999114025001</v>
      </c>
      <c r="AK60" s="135">
        <f>AH60*AC60+V60*Q60+J60*E60</f>
        <v>60678.91000000004</v>
      </c>
      <c r="AL60" s="152">
        <v>60678.91</v>
      </c>
      <c r="AM60" s="224">
        <f t="shared" si="44"/>
        <v>0</v>
      </c>
      <c r="AO60" s="212"/>
      <c r="AP60" s="212"/>
      <c r="AQ60" s="212"/>
      <c r="AR60" s="212"/>
      <c r="AS60" s="212"/>
      <c r="AT60" s="26"/>
    </row>
    <row r="61" spans="1:46">
      <c r="A61" s="407" t="s">
        <v>25</v>
      </c>
      <c r="B61" s="408"/>
      <c r="C61" s="408"/>
      <c r="D61" s="408"/>
      <c r="E61" s="408"/>
      <c r="F61" s="408"/>
      <c r="G61" s="408"/>
      <c r="H61" s="408"/>
      <c r="I61" s="409"/>
      <c r="J61" s="257">
        <f>SUM(J56:J60)</f>
        <v>8299.2494230769207</v>
      </c>
      <c r="K61" s="381"/>
      <c r="L61" s="64"/>
      <c r="M61" s="407" t="s">
        <v>25</v>
      </c>
      <c r="N61" s="408"/>
      <c r="O61" s="408"/>
      <c r="P61" s="408"/>
      <c r="Q61" s="408"/>
      <c r="R61" s="408"/>
      <c r="S61" s="408"/>
      <c r="T61" s="408"/>
      <c r="U61" s="409"/>
      <c r="V61" s="257">
        <f>SUM(V56:V60)</f>
        <v>8299.2494230769189</v>
      </c>
      <c r="W61" s="381"/>
      <c r="X61" s="76"/>
      <c r="Y61" s="407" t="s">
        <v>25</v>
      </c>
      <c r="Z61" s="408"/>
      <c r="AA61" s="408"/>
      <c r="AB61" s="408"/>
      <c r="AC61" s="408"/>
      <c r="AD61" s="408"/>
      <c r="AE61" s="408"/>
      <c r="AF61" s="408"/>
      <c r="AG61" s="409"/>
      <c r="AH61" s="257">
        <f>SUM(AH56:AH60)</f>
        <v>8299.2494230769207</v>
      </c>
      <c r="AI61" s="381"/>
      <c r="AJ61" s="42">
        <f>AH61*AC60+V61*Q60+J61*E60</f>
        <v>1726243.8799999992</v>
      </c>
      <c r="AK61" s="148">
        <f>SUM(AK56:AK60)</f>
        <v>1726243.8799999994</v>
      </c>
      <c r="AL61" s="227">
        <f>AH148</f>
        <v>1726243.88</v>
      </c>
      <c r="AM61" s="153">
        <f>AL60+AL58+AL57+AL56</f>
        <v>1726243.88</v>
      </c>
      <c r="AO61" s="220"/>
      <c r="AP61" s="221"/>
      <c r="AQ61" s="222"/>
      <c r="AR61" s="222"/>
      <c r="AS61" s="212"/>
      <c r="AT61" s="26"/>
    </row>
    <row r="62" spans="1:46" ht="21.75" customHeight="1">
      <c r="A62" s="410" t="s">
        <v>63</v>
      </c>
      <c r="B62" s="411"/>
      <c r="C62" s="411"/>
      <c r="D62" s="411"/>
      <c r="E62" s="411"/>
      <c r="F62" s="411"/>
      <c r="G62" s="411"/>
      <c r="H62" s="411"/>
      <c r="I62" s="411"/>
      <c r="J62" s="411"/>
      <c r="K62" s="412"/>
      <c r="L62" s="63"/>
      <c r="M62" s="410" t="s">
        <v>63</v>
      </c>
      <c r="N62" s="411"/>
      <c r="O62" s="411"/>
      <c r="P62" s="411"/>
      <c r="Q62" s="411"/>
      <c r="R62" s="411"/>
      <c r="S62" s="411"/>
      <c r="T62" s="411"/>
      <c r="U62" s="411"/>
      <c r="V62" s="411"/>
      <c r="W62" s="412"/>
      <c r="X62" s="75"/>
      <c r="Y62" s="410" t="s">
        <v>63</v>
      </c>
      <c r="Z62" s="411"/>
      <c r="AA62" s="411"/>
      <c r="AB62" s="411"/>
      <c r="AC62" s="411"/>
      <c r="AD62" s="411"/>
      <c r="AE62" s="411"/>
      <c r="AF62" s="411"/>
      <c r="AG62" s="411"/>
      <c r="AH62" s="411"/>
      <c r="AI62" s="412"/>
      <c r="AJ62" s="151">
        <f>AK61-AJ61</f>
        <v>0</v>
      </c>
      <c r="AK62" s="135">
        <f>AL61-AK61</f>
        <v>0</v>
      </c>
      <c r="AL62" s="277"/>
      <c r="AO62" s="222"/>
      <c r="AP62" s="212"/>
      <c r="AQ62" s="212"/>
      <c r="AR62" s="212"/>
      <c r="AS62" s="212"/>
      <c r="AT62" s="26"/>
    </row>
    <row r="63" spans="1:46" s="326" customFormat="1" ht="51">
      <c r="A63" s="348">
        <f>M63</f>
        <v>1</v>
      </c>
      <c r="B63" s="349" t="str">
        <f>N63</f>
        <v>Техническое обслуживание и регламентно-профилактический ремонт систем охранно-пожарной сигнализации</v>
      </c>
      <c r="C63" s="350" t="s">
        <v>48</v>
      </c>
      <c r="D63" s="351">
        <f>1/2/104*E63</f>
        <v>8.6538461538461536E-2</v>
      </c>
      <c r="E63" s="315">
        <f>E59</f>
        <v>18</v>
      </c>
      <c r="F63" s="316">
        <v>1</v>
      </c>
      <c r="G63" s="317">
        <f t="shared" ref="G63:G69" si="49">D63*F63/E63</f>
        <v>4.807692307692308E-3</v>
      </c>
      <c r="H63" s="352">
        <f>T63</f>
        <v>58810.75</v>
      </c>
      <c r="I63" s="319"/>
      <c r="J63" s="320">
        <f>H63*G63</f>
        <v>282.74399038461542</v>
      </c>
      <c r="K63" s="380"/>
      <c r="L63" s="321"/>
      <c r="M63" s="348">
        <f>Y63</f>
        <v>1</v>
      </c>
      <c r="N63" s="349" t="str">
        <f>Z63</f>
        <v>Техническое обслуживание и регламентно-профилактический ремонт систем охранно-пожарной сигнализации</v>
      </c>
      <c r="O63" s="350" t="s">
        <v>48</v>
      </c>
      <c r="P63" s="351">
        <f>1/2/104*Q63</f>
        <v>0.41346153846153849</v>
      </c>
      <c r="Q63" s="315">
        <f>Q59</f>
        <v>86</v>
      </c>
      <c r="R63" s="316">
        <v>1</v>
      </c>
      <c r="S63" s="317">
        <f t="shared" ref="S63:S69" si="50">P63*R63/Q63</f>
        <v>4.807692307692308E-3</v>
      </c>
      <c r="T63" s="352">
        <f>AF63</f>
        <v>58810.75</v>
      </c>
      <c r="U63" s="319"/>
      <c r="V63" s="320">
        <f>T63*S63</f>
        <v>282.74399038461542</v>
      </c>
      <c r="W63" s="380"/>
      <c r="X63" s="322"/>
      <c r="Y63" s="348">
        <v>1</v>
      </c>
      <c r="Z63" s="353" t="s">
        <v>213</v>
      </c>
      <c r="AA63" s="350" t="s">
        <v>48</v>
      </c>
      <c r="AB63" s="351">
        <f t="shared" ref="AB63:AB67" si="51">1/2</f>
        <v>0.5</v>
      </c>
      <c r="AC63" s="315">
        <f>AC59</f>
        <v>104</v>
      </c>
      <c r="AD63" s="316">
        <v>1</v>
      </c>
      <c r="AE63" s="317">
        <f t="shared" ref="AE63:AE69" si="52">AB63*AD63/AC63</f>
        <v>4.807692307692308E-3</v>
      </c>
      <c r="AF63" s="352">
        <v>58810.75</v>
      </c>
      <c r="AG63" s="319"/>
      <c r="AH63" s="320">
        <f>AF63*AE63</f>
        <v>282.74399038461542</v>
      </c>
      <c r="AI63" s="380"/>
      <c r="AJ63" s="323">
        <f>AB63+P63+D63</f>
        <v>1</v>
      </c>
      <c r="AK63" s="135">
        <f>AH63*AC63+V63*Q63+J63*E63</f>
        <v>58810.750000000007</v>
      </c>
      <c r="AL63" s="354">
        <v>58810.75</v>
      </c>
      <c r="AM63" s="355">
        <f>AL63-AK63</f>
        <v>0</v>
      </c>
      <c r="AN63" s="340" t="s">
        <v>212</v>
      </c>
      <c r="AO63" s="356"/>
      <c r="AP63" s="357"/>
      <c r="AQ63" s="357"/>
      <c r="AR63" s="357"/>
    </row>
    <row r="64" spans="1:46" s="326" customFormat="1">
      <c r="A64" s="348">
        <f t="shared" ref="A64:A69" si="53">M64</f>
        <v>2</v>
      </c>
      <c r="B64" s="349" t="str">
        <f t="shared" ref="B64:B69" si="54">N64</f>
        <v>Проведение текущего ремонта</v>
      </c>
      <c r="C64" s="350" t="s">
        <v>48</v>
      </c>
      <c r="D64" s="351">
        <f>1/2/104*E64</f>
        <v>8.6538461538461536E-2</v>
      </c>
      <c r="E64" s="315">
        <f t="shared" ref="E64:E67" si="55">E63</f>
        <v>18</v>
      </c>
      <c r="F64" s="316">
        <v>1</v>
      </c>
      <c r="G64" s="317">
        <f t="shared" si="49"/>
        <v>4.807692307692308E-3</v>
      </c>
      <c r="H64" s="352">
        <f t="shared" ref="H64:H69" si="56">T64</f>
        <v>0</v>
      </c>
      <c r="I64" s="319"/>
      <c r="J64" s="320">
        <f t="shared" ref="J64:J69" si="57">H64*G64</f>
        <v>0</v>
      </c>
      <c r="K64" s="382"/>
      <c r="L64" s="321"/>
      <c r="M64" s="348">
        <f t="shared" ref="M64:M69" si="58">Y64</f>
        <v>2</v>
      </c>
      <c r="N64" s="349" t="str">
        <f t="shared" ref="N64:N69" si="59">Z64</f>
        <v>Проведение текущего ремонта</v>
      </c>
      <c r="O64" s="350" t="s">
        <v>48</v>
      </c>
      <c r="P64" s="351">
        <f>1/2/104*Q64</f>
        <v>0.41346153846153849</v>
      </c>
      <c r="Q64" s="315">
        <f t="shared" ref="Q64:Q67" si="60">Q63</f>
        <v>86</v>
      </c>
      <c r="R64" s="316">
        <v>1</v>
      </c>
      <c r="S64" s="317">
        <f t="shared" si="50"/>
        <v>4.807692307692308E-3</v>
      </c>
      <c r="T64" s="352">
        <f t="shared" ref="T64:T69" si="61">AF64</f>
        <v>0</v>
      </c>
      <c r="U64" s="319"/>
      <c r="V64" s="320">
        <f t="shared" ref="V64:V69" si="62">T64*S64</f>
        <v>0</v>
      </c>
      <c r="W64" s="382"/>
      <c r="X64" s="322"/>
      <c r="Y64" s="348">
        <v>2</v>
      </c>
      <c r="Z64" s="349" t="s">
        <v>17</v>
      </c>
      <c r="AA64" s="350" t="s">
        <v>48</v>
      </c>
      <c r="AB64" s="351">
        <f t="shared" si="51"/>
        <v>0.5</v>
      </c>
      <c r="AC64" s="315">
        <f>AC63</f>
        <v>104</v>
      </c>
      <c r="AD64" s="316">
        <v>1</v>
      </c>
      <c r="AE64" s="317">
        <f t="shared" si="52"/>
        <v>4.807692307692308E-3</v>
      </c>
      <c r="AF64" s="352">
        <v>0</v>
      </c>
      <c r="AG64" s="319"/>
      <c r="AH64" s="320">
        <f t="shared" ref="AH64:AH69" si="63">AF64*AE64</f>
        <v>0</v>
      </c>
      <c r="AI64" s="382"/>
      <c r="AJ64" s="323">
        <f t="shared" ref="AJ64:AJ69" si="64">AB64+P64+D64</f>
        <v>1</v>
      </c>
      <c r="AK64" s="159">
        <f t="shared" ref="AK64:AK69" si="65">AH64*AC64+V64*Q64+J64*E64</f>
        <v>0</v>
      </c>
      <c r="AL64" s="338">
        <f>AH149</f>
        <v>0</v>
      </c>
      <c r="AM64" s="355">
        <f>AL64-AK64</f>
        <v>0</v>
      </c>
      <c r="AN64" s="340" t="s">
        <v>186</v>
      </c>
      <c r="AO64" s="356"/>
      <c r="AP64" s="357"/>
      <c r="AQ64" s="357"/>
      <c r="AR64" s="357"/>
    </row>
    <row r="65" spans="1:46" s="326" customFormat="1">
      <c r="A65" s="348">
        <f t="shared" si="53"/>
        <v>3</v>
      </c>
      <c r="B65" s="349" t="str">
        <f t="shared" si="54"/>
        <v>Обслуживание тревожной кнопки</v>
      </c>
      <c r="C65" s="350" t="s">
        <v>48</v>
      </c>
      <c r="D65" s="351">
        <f>1/2/104*E65</f>
        <v>8.6538461538461536E-2</v>
      </c>
      <c r="E65" s="315">
        <f t="shared" si="55"/>
        <v>18</v>
      </c>
      <c r="F65" s="316">
        <v>1</v>
      </c>
      <c r="G65" s="317">
        <f t="shared" si="49"/>
        <v>4.807692307692308E-3</v>
      </c>
      <c r="H65" s="352">
        <f t="shared" si="56"/>
        <v>30000</v>
      </c>
      <c r="I65" s="319"/>
      <c r="J65" s="320">
        <f t="shared" si="57"/>
        <v>144.23076923076923</v>
      </c>
      <c r="K65" s="382"/>
      <c r="L65" s="321"/>
      <c r="M65" s="348">
        <f t="shared" si="58"/>
        <v>3</v>
      </c>
      <c r="N65" s="349" t="str">
        <f t="shared" si="59"/>
        <v>Обслуживание тревожной кнопки</v>
      </c>
      <c r="O65" s="350" t="s">
        <v>48</v>
      </c>
      <c r="P65" s="351">
        <f>1/2/104*Q65</f>
        <v>0.41346153846153849</v>
      </c>
      <c r="Q65" s="315">
        <f t="shared" si="60"/>
        <v>86</v>
      </c>
      <c r="R65" s="316">
        <v>1</v>
      </c>
      <c r="S65" s="317">
        <f t="shared" si="50"/>
        <v>4.807692307692308E-3</v>
      </c>
      <c r="T65" s="352">
        <f t="shared" si="61"/>
        <v>30000</v>
      </c>
      <c r="U65" s="319"/>
      <c r="V65" s="320">
        <f t="shared" si="62"/>
        <v>144.23076923076923</v>
      </c>
      <c r="W65" s="382"/>
      <c r="X65" s="322"/>
      <c r="Y65" s="348">
        <v>3</v>
      </c>
      <c r="Z65" s="349" t="s">
        <v>98</v>
      </c>
      <c r="AA65" s="350" t="s">
        <v>48</v>
      </c>
      <c r="AB65" s="351">
        <f t="shared" si="51"/>
        <v>0.5</v>
      </c>
      <c r="AC65" s="315">
        <f>AC63</f>
        <v>104</v>
      </c>
      <c r="AD65" s="316">
        <v>1</v>
      </c>
      <c r="AE65" s="317">
        <f t="shared" si="52"/>
        <v>4.807692307692308E-3</v>
      </c>
      <c r="AF65" s="358">
        <v>30000</v>
      </c>
      <c r="AG65" s="319"/>
      <c r="AH65" s="320">
        <f t="shared" si="63"/>
        <v>144.23076923076923</v>
      </c>
      <c r="AI65" s="382"/>
      <c r="AJ65" s="323">
        <f t="shared" si="64"/>
        <v>1</v>
      </c>
      <c r="AK65" s="135">
        <f t="shared" si="65"/>
        <v>30000.000000000004</v>
      </c>
      <c r="AL65" s="231">
        <v>30000</v>
      </c>
      <c r="AM65" s="355">
        <f t="shared" ref="AM65:AM69" si="66">AL65-AK65</f>
        <v>0</v>
      </c>
      <c r="AN65" s="340" t="s">
        <v>212</v>
      </c>
      <c r="AO65" s="356"/>
      <c r="AP65" s="357"/>
      <c r="AQ65" s="357"/>
      <c r="AR65" s="357"/>
    </row>
    <row r="66" spans="1:46" s="326" customFormat="1">
      <c r="A66" s="348">
        <f t="shared" si="53"/>
        <v>4</v>
      </c>
      <c r="B66" s="349" t="str">
        <f t="shared" si="54"/>
        <v>Уборка территории от снега</v>
      </c>
      <c r="C66" s="350" t="s">
        <v>48</v>
      </c>
      <c r="D66" s="351">
        <f>1/2/104*E66</f>
        <v>8.6538461538461536E-2</v>
      </c>
      <c r="E66" s="315">
        <f t="shared" si="55"/>
        <v>18</v>
      </c>
      <c r="F66" s="316">
        <v>1</v>
      </c>
      <c r="G66" s="317">
        <f t="shared" si="49"/>
        <v>4.807692307692308E-3</v>
      </c>
      <c r="H66" s="352">
        <f t="shared" si="56"/>
        <v>250000</v>
      </c>
      <c r="I66" s="319"/>
      <c r="J66" s="320">
        <f t="shared" si="57"/>
        <v>1201.9230769230769</v>
      </c>
      <c r="K66" s="382"/>
      <c r="L66" s="321"/>
      <c r="M66" s="348">
        <f t="shared" si="58"/>
        <v>4</v>
      </c>
      <c r="N66" s="349" t="str">
        <f t="shared" si="59"/>
        <v>Уборка территории от снега</v>
      </c>
      <c r="O66" s="350" t="s">
        <v>48</v>
      </c>
      <c r="P66" s="351">
        <f>1/2/104*Q66</f>
        <v>0.41346153846153849</v>
      </c>
      <c r="Q66" s="315">
        <f t="shared" si="60"/>
        <v>86</v>
      </c>
      <c r="R66" s="316">
        <v>1</v>
      </c>
      <c r="S66" s="317">
        <f t="shared" si="50"/>
        <v>4.807692307692308E-3</v>
      </c>
      <c r="T66" s="352">
        <f t="shared" si="61"/>
        <v>250000</v>
      </c>
      <c r="U66" s="319"/>
      <c r="V66" s="320">
        <f t="shared" si="62"/>
        <v>1201.9230769230769</v>
      </c>
      <c r="W66" s="382"/>
      <c r="X66" s="322"/>
      <c r="Y66" s="348">
        <v>4</v>
      </c>
      <c r="Z66" s="349" t="s">
        <v>73</v>
      </c>
      <c r="AA66" s="350" t="s">
        <v>48</v>
      </c>
      <c r="AB66" s="351">
        <f t="shared" si="51"/>
        <v>0.5</v>
      </c>
      <c r="AC66" s="315">
        <f>AC63</f>
        <v>104</v>
      </c>
      <c r="AD66" s="316">
        <v>1</v>
      </c>
      <c r="AE66" s="317">
        <f t="shared" si="52"/>
        <v>4.807692307692308E-3</v>
      </c>
      <c r="AF66" s="352">
        <v>250000</v>
      </c>
      <c r="AG66" s="319"/>
      <c r="AH66" s="320">
        <f t="shared" si="63"/>
        <v>1201.9230769230769</v>
      </c>
      <c r="AI66" s="382"/>
      <c r="AJ66" s="323">
        <f t="shared" si="64"/>
        <v>1</v>
      </c>
      <c r="AK66" s="135">
        <f t="shared" si="65"/>
        <v>250000</v>
      </c>
      <c r="AL66" s="231">
        <v>250000</v>
      </c>
      <c r="AM66" s="355">
        <f t="shared" si="66"/>
        <v>0</v>
      </c>
      <c r="AN66" s="340" t="s">
        <v>212</v>
      </c>
      <c r="AO66" s="356"/>
      <c r="AP66" s="357"/>
      <c r="AQ66" s="357"/>
      <c r="AR66" s="357"/>
    </row>
    <row r="67" spans="1:46" s="326" customFormat="1">
      <c r="A67" s="348">
        <f t="shared" si="53"/>
        <v>5</v>
      </c>
      <c r="B67" s="349" t="str">
        <f t="shared" si="54"/>
        <v>Дератизация и дезинфекция</v>
      </c>
      <c r="C67" s="350" t="s">
        <v>48</v>
      </c>
      <c r="D67" s="351">
        <f>1/2/104*E67</f>
        <v>8.6538461538461536E-2</v>
      </c>
      <c r="E67" s="315">
        <f t="shared" si="55"/>
        <v>18</v>
      </c>
      <c r="F67" s="316">
        <v>1</v>
      </c>
      <c r="G67" s="317">
        <f t="shared" si="49"/>
        <v>4.807692307692308E-3</v>
      </c>
      <c r="H67" s="352">
        <f t="shared" si="56"/>
        <v>8739.1</v>
      </c>
      <c r="I67" s="319"/>
      <c r="J67" s="320">
        <f t="shared" si="57"/>
        <v>42.01490384615385</v>
      </c>
      <c r="K67" s="382"/>
      <c r="L67" s="321"/>
      <c r="M67" s="348">
        <f t="shared" si="58"/>
        <v>5</v>
      </c>
      <c r="N67" s="349" t="str">
        <f t="shared" si="59"/>
        <v>Дератизация и дезинфекция</v>
      </c>
      <c r="O67" s="350" t="s">
        <v>48</v>
      </c>
      <c r="P67" s="351">
        <f>1/2/104*Q67</f>
        <v>0.41346153846153849</v>
      </c>
      <c r="Q67" s="315">
        <f t="shared" si="60"/>
        <v>86</v>
      </c>
      <c r="R67" s="316">
        <v>1</v>
      </c>
      <c r="S67" s="317">
        <f t="shared" si="50"/>
        <v>4.807692307692308E-3</v>
      </c>
      <c r="T67" s="352">
        <f t="shared" si="61"/>
        <v>8739.1</v>
      </c>
      <c r="U67" s="319"/>
      <c r="V67" s="320">
        <f t="shared" si="62"/>
        <v>42.01490384615385</v>
      </c>
      <c r="W67" s="382"/>
      <c r="X67" s="322"/>
      <c r="Y67" s="348">
        <v>5</v>
      </c>
      <c r="Z67" s="349" t="s">
        <v>91</v>
      </c>
      <c r="AA67" s="350" t="s">
        <v>48</v>
      </c>
      <c r="AB67" s="351">
        <f t="shared" si="51"/>
        <v>0.5</v>
      </c>
      <c r="AC67" s="315">
        <f>AC63</f>
        <v>104</v>
      </c>
      <c r="AD67" s="316">
        <v>1</v>
      </c>
      <c r="AE67" s="317">
        <f t="shared" si="52"/>
        <v>4.807692307692308E-3</v>
      </c>
      <c r="AF67" s="352">
        <v>8739.1</v>
      </c>
      <c r="AG67" s="319"/>
      <c r="AH67" s="320">
        <f t="shared" si="63"/>
        <v>42.01490384615385</v>
      </c>
      <c r="AI67" s="382"/>
      <c r="AJ67" s="323">
        <f t="shared" si="64"/>
        <v>1</v>
      </c>
      <c r="AK67" s="135">
        <f t="shared" si="65"/>
        <v>8739.1</v>
      </c>
      <c r="AL67" s="231">
        <v>8739.1</v>
      </c>
      <c r="AM67" s="355">
        <f t="shared" si="66"/>
        <v>0</v>
      </c>
      <c r="AN67" s="340" t="s">
        <v>212</v>
      </c>
      <c r="AO67" s="356"/>
      <c r="AP67" s="357"/>
      <c r="AQ67" s="357"/>
      <c r="AR67" s="357"/>
    </row>
    <row r="68" spans="1:46" s="326" customFormat="1" ht="76.5">
      <c r="A68" s="348">
        <f t="shared" si="53"/>
        <v>6</v>
      </c>
      <c r="B68" s="349" t="str">
        <f t="shared" si="54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C68" s="350" t="s">
        <v>48</v>
      </c>
      <c r="D68" s="351">
        <f>4/2/104*E68</f>
        <v>0.34615384615384615</v>
      </c>
      <c r="E68" s="315">
        <f>E66</f>
        <v>18</v>
      </c>
      <c r="F68" s="316">
        <v>1</v>
      </c>
      <c r="G68" s="317">
        <f t="shared" ref="G68" si="67">D68*F68/E68</f>
        <v>1.9230769230769232E-2</v>
      </c>
      <c r="H68" s="352">
        <f t="shared" ref="H68" si="68">T68</f>
        <v>36250</v>
      </c>
      <c r="I68" s="319"/>
      <c r="J68" s="320">
        <f t="shared" ref="J68" si="69">H68*G68</f>
        <v>697.11538461538464</v>
      </c>
      <c r="K68" s="382"/>
      <c r="L68" s="321"/>
      <c r="M68" s="348">
        <f t="shared" si="58"/>
        <v>6</v>
      </c>
      <c r="N68" s="349" t="str">
        <f t="shared" si="59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O68" s="350" t="s">
        <v>48</v>
      </c>
      <c r="P68" s="351">
        <f>4/2/104*Q68</f>
        <v>1.653846153846154</v>
      </c>
      <c r="Q68" s="315">
        <f>Q67</f>
        <v>86</v>
      </c>
      <c r="R68" s="316">
        <v>1</v>
      </c>
      <c r="S68" s="317">
        <f t="shared" ref="S68" si="70">P68*R68/Q68</f>
        <v>1.9230769230769232E-2</v>
      </c>
      <c r="T68" s="352">
        <f t="shared" ref="T68" si="71">AF68</f>
        <v>36250</v>
      </c>
      <c r="U68" s="319"/>
      <c r="V68" s="320">
        <f t="shared" ref="V68" si="72">T68*S68</f>
        <v>697.11538461538464</v>
      </c>
      <c r="W68" s="382"/>
      <c r="X68" s="322"/>
      <c r="Y68" s="348">
        <v>6</v>
      </c>
      <c r="Z68" s="349" t="s">
        <v>90</v>
      </c>
      <c r="AA68" s="350" t="s">
        <v>48</v>
      </c>
      <c r="AB68" s="351">
        <f>4/2</f>
        <v>2</v>
      </c>
      <c r="AC68" s="315">
        <f>AC67</f>
        <v>104</v>
      </c>
      <c r="AD68" s="316">
        <v>1</v>
      </c>
      <c r="AE68" s="317">
        <f t="shared" ref="AE68" si="73">AB68*AD68/AC68</f>
        <v>1.9230769230769232E-2</v>
      </c>
      <c r="AF68" s="359">
        <v>36250</v>
      </c>
      <c r="AG68" s="319"/>
      <c r="AH68" s="320">
        <f t="shared" ref="AH68" si="74">AF68*AE68</f>
        <v>697.11538461538464</v>
      </c>
      <c r="AI68" s="382"/>
      <c r="AJ68" s="323">
        <f t="shared" ref="AJ68" si="75">AB68+P68+D68</f>
        <v>4</v>
      </c>
      <c r="AK68" s="135">
        <f t="shared" ref="AK68" si="76">AH68*AC68+V68*Q68+J68*E68</f>
        <v>145000</v>
      </c>
      <c r="AL68" s="231">
        <f>20000+60000+25000+40000</f>
        <v>145000</v>
      </c>
      <c r="AM68" s="355">
        <f t="shared" ref="AM68" si="77">AL68-AK68</f>
        <v>0</v>
      </c>
      <c r="AN68" s="340" t="s">
        <v>212</v>
      </c>
      <c r="AO68" s="356"/>
      <c r="AP68" s="357"/>
      <c r="AQ68" s="357"/>
      <c r="AR68" s="360"/>
    </row>
    <row r="69" spans="1:46" s="326" customFormat="1">
      <c r="A69" s="348">
        <f t="shared" si="53"/>
        <v>7</v>
      </c>
      <c r="B69" s="349" t="str">
        <f t="shared" si="54"/>
        <v>Монтаж теплоузла</v>
      </c>
      <c r="C69" s="350" t="s">
        <v>48</v>
      </c>
      <c r="D69" s="351">
        <f>0.5/104*E69</f>
        <v>8.6538461538461536E-2</v>
      </c>
      <c r="E69" s="315">
        <f>E67</f>
        <v>18</v>
      </c>
      <c r="F69" s="316">
        <v>1</v>
      </c>
      <c r="G69" s="317">
        <f t="shared" si="49"/>
        <v>4.807692307692308E-3</v>
      </c>
      <c r="H69" s="352">
        <f t="shared" si="56"/>
        <v>0</v>
      </c>
      <c r="I69" s="319"/>
      <c r="J69" s="320">
        <f t="shared" si="57"/>
        <v>0</v>
      </c>
      <c r="K69" s="382"/>
      <c r="L69" s="321"/>
      <c r="M69" s="348">
        <f t="shared" si="58"/>
        <v>7</v>
      </c>
      <c r="N69" s="349" t="str">
        <f t="shared" si="59"/>
        <v>Монтаж теплоузла</v>
      </c>
      <c r="O69" s="350" t="s">
        <v>48</v>
      </c>
      <c r="P69" s="351">
        <f>0.5/104*Q69</f>
        <v>0.41346153846153849</v>
      </c>
      <c r="Q69" s="315">
        <f>Q63</f>
        <v>86</v>
      </c>
      <c r="R69" s="316">
        <v>1</v>
      </c>
      <c r="S69" s="317">
        <f t="shared" si="50"/>
        <v>4.807692307692308E-3</v>
      </c>
      <c r="T69" s="352">
        <f t="shared" si="61"/>
        <v>0</v>
      </c>
      <c r="U69" s="319"/>
      <c r="V69" s="320">
        <f t="shared" si="62"/>
        <v>0</v>
      </c>
      <c r="W69" s="382"/>
      <c r="X69" s="322"/>
      <c r="Y69" s="348">
        <v>7</v>
      </c>
      <c r="Z69" s="353" t="s">
        <v>226</v>
      </c>
      <c r="AA69" s="350" t="s">
        <v>48</v>
      </c>
      <c r="AB69" s="351">
        <v>0.5</v>
      </c>
      <c r="AC69" s="315">
        <f>AC63</f>
        <v>104</v>
      </c>
      <c r="AD69" s="316">
        <v>1</v>
      </c>
      <c r="AE69" s="317">
        <f t="shared" si="52"/>
        <v>4.807692307692308E-3</v>
      </c>
      <c r="AF69" s="359">
        <v>0</v>
      </c>
      <c r="AG69" s="319"/>
      <c r="AH69" s="320">
        <f t="shared" si="63"/>
        <v>0</v>
      </c>
      <c r="AI69" s="382"/>
      <c r="AJ69" s="323">
        <f t="shared" si="64"/>
        <v>1</v>
      </c>
      <c r="AK69" s="135">
        <f t="shared" si="65"/>
        <v>0</v>
      </c>
      <c r="AL69" s="231">
        <v>0</v>
      </c>
      <c r="AM69" s="355">
        <f t="shared" si="66"/>
        <v>0</v>
      </c>
      <c r="AN69" s="340" t="s">
        <v>212</v>
      </c>
      <c r="AO69" s="356"/>
      <c r="AP69" s="357"/>
      <c r="AQ69" s="357"/>
      <c r="AR69" s="360"/>
    </row>
    <row r="70" spans="1:46">
      <c r="A70" s="407" t="s">
        <v>25</v>
      </c>
      <c r="B70" s="408"/>
      <c r="C70" s="408"/>
      <c r="D70" s="408"/>
      <c r="E70" s="408"/>
      <c r="F70" s="408"/>
      <c r="G70" s="408"/>
      <c r="H70" s="408"/>
      <c r="I70" s="409"/>
      <c r="J70" s="258">
        <f>SUM(J63:J69)</f>
        <v>2368.0281249999998</v>
      </c>
      <c r="K70" s="381"/>
      <c r="L70" s="64"/>
      <c r="M70" s="407" t="s">
        <v>25</v>
      </c>
      <c r="N70" s="408"/>
      <c r="O70" s="408"/>
      <c r="P70" s="408"/>
      <c r="Q70" s="408"/>
      <c r="R70" s="408"/>
      <c r="S70" s="408"/>
      <c r="T70" s="408"/>
      <c r="U70" s="409"/>
      <c r="V70" s="258">
        <f>SUM(V63:V69)</f>
        <v>2368.0281249999998</v>
      </c>
      <c r="W70" s="381"/>
      <c r="X70" s="76"/>
      <c r="Y70" s="407" t="s">
        <v>25</v>
      </c>
      <c r="Z70" s="408"/>
      <c r="AA70" s="408"/>
      <c r="AB70" s="408"/>
      <c r="AC70" s="408"/>
      <c r="AD70" s="408"/>
      <c r="AE70" s="408"/>
      <c r="AF70" s="408"/>
      <c r="AG70" s="409"/>
      <c r="AH70" s="258">
        <f>SUM(AH63:AH69)</f>
        <v>2368.0281249999998</v>
      </c>
      <c r="AI70" s="381"/>
      <c r="AJ70" s="42">
        <f>AH70*AC69+V70*Q67+J70*E67</f>
        <v>492549.85</v>
      </c>
      <c r="AK70" s="156">
        <f>SUM(AK63:AK69)</f>
        <v>492549.85</v>
      </c>
      <c r="AL70" s="227">
        <f>AH150+AH149</f>
        <v>492549.85</v>
      </c>
      <c r="AO70" s="228"/>
      <c r="AP70" s="229"/>
      <c r="AQ70" s="22"/>
      <c r="AR70" s="24"/>
    </row>
    <row r="71" spans="1:46" ht="18" customHeight="1">
      <c r="A71" s="410" t="s">
        <v>62</v>
      </c>
      <c r="B71" s="411"/>
      <c r="C71" s="411"/>
      <c r="D71" s="411"/>
      <c r="E71" s="411"/>
      <c r="F71" s="411"/>
      <c r="G71" s="411"/>
      <c r="H71" s="411"/>
      <c r="I71" s="411"/>
      <c r="J71" s="411"/>
      <c r="K71" s="412"/>
      <c r="L71" s="63"/>
      <c r="M71" s="410" t="s">
        <v>62</v>
      </c>
      <c r="N71" s="411"/>
      <c r="O71" s="411"/>
      <c r="P71" s="411"/>
      <c r="Q71" s="411"/>
      <c r="R71" s="411"/>
      <c r="S71" s="411"/>
      <c r="T71" s="411"/>
      <c r="U71" s="411"/>
      <c r="V71" s="411"/>
      <c r="W71" s="412"/>
      <c r="X71" s="75"/>
      <c r="Y71" s="410" t="s">
        <v>62</v>
      </c>
      <c r="Z71" s="411"/>
      <c r="AA71" s="411"/>
      <c r="AB71" s="411"/>
      <c r="AC71" s="411"/>
      <c r="AD71" s="411"/>
      <c r="AE71" s="411"/>
      <c r="AF71" s="411"/>
      <c r="AG71" s="411"/>
      <c r="AH71" s="411"/>
      <c r="AI71" s="412"/>
      <c r="AJ71" s="150">
        <f>AK70-AJ70</f>
        <v>0</v>
      </c>
      <c r="AK71" s="140">
        <f>AL70-AK70</f>
        <v>0</v>
      </c>
      <c r="AL71" s="276"/>
      <c r="AO71" s="26"/>
      <c r="AP71" s="230"/>
      <c r="AQ71" s="212"/>
      <c r="AR71" s="212"/>
    </row>
    <row r="72" spans="1:46">
      <c r="A72" s="407" t="s">
        <v>25</v>
      </c>
      <c r="B72" s="408"/>
      <c r="C72" s="408"/>
      <c r="D72" s="408"/>
      <c r="E72" s="408"/>
      <c r="F72" s="408"/>
      <c r="G72" s="408"/>
      <c r="H72" s="408"/>
      <c r="I72" s="409"/>
      <c r="J72" s="258">
        <v>0</v>
      </c>
      <c r="K72" s="71"/>
      <c r="L72" s="64"/>
      <c r="M72" s="407" t="s">
        <v>25</v>
      </c>
      <c r="N72" s="408"/>
      <c r="O72" s="408"/>
      <c r="P72" s="408"/>
      <c r="Q72" s="408"/>
      <c r="R72" s="408"/>
      <c r="S72" s="408"/>
      <c r="T72" s="408"/>
      <c r="U72" s="409"/>
      <c r="V72" s="258">
        <v>0</v>
      </c>
      <c r="W72" s="71"/>
      <c r="X72" s="76"/>
      <c r="Y72" s="407" t="s">
        <v>25</v>
      </c>
      <c r="Z72" s="408"/>
      <c r="AA72" s="408"/>
      <c r="AB72" s="408"/>
      <c r="AC72" s="408"/>
      <c r="AD72" s="408"/>
      <c r="AE72" s="408"/>
      <c r="AF72" s="408"/>
      <c r="AG72" s="409"/>
      <c r="AH72" s="258">
        <v>0</v>
      </c>
      <c r="AI72" s="71"/>
      <c r="AJ72" s="42"/>
      <c r="AK72" s="138"/>
      <c r="AL72" s="152"/>
      <c r="AO72" s="8"/>
    </row>
    <row r="73" spans="1:46" ht="17.25" customHeight="1">
      <c r="A73" s="410" t="s">
        <v>19</v>
      </c>
      <c r="B73" s="411"/>
      <c r="C73" s="411"/>
      <c r="D73" s="411"/>
      <c r="E73" s="411"/>
      <c r="F73" s="411"/>
      <c r="G73" s="411"/>
      <c r="H73" s="411"/>
      <c r="I73" s="411"/>
      <c r="J73" s="411"/>
      <c r="K73" s="412"/>
      <c r="L73" s="63"/>
      <c r="M73" s="410" t="s">
        <v>19</v>
      </c>
      <c r="N73" s="411"/>
      <c r="O73" s="411"/>
      <c r="P73" s="411"/>
      <c r="Q73" s="411"/>
      <c r="R73" s="411"/>
      <c r="S73" s="411"/>
      <c r="T73" s="411"/>
      <c r="U73" s="411"/>
      <c r="V73" s="411"/>
      <c r="W73" s="412"/>
      <c r="X73" s="75"/>
      <c r="Y73" s="410" t="s">
        <v>19</v>
      </c>
      <c r="Z73" s="411"/>
      <c r="AA73" s="411"/>
      <c r="AB73" s="411"/>
      <c r="AC73" s="411"/>
      <c r="AD73" s="411"/>
      <c r="AE73" s="411"/>
      <c r="AF73" s="411"/>
      <c r="AG73" s="411"/>
      <c r="AH73" s="411"/>
      <c r="AI73" s="412"/>
      <c r="AJ73" s="41"/>
      <c r="AK73" s="140"/>
      <c r="AL73" s="276">
        <v>221</v>
      </c>
      <c r="AO73" s="8"/>
    </row>
    <row r="74" spans="1:46" s="179" customFormat="1" ht="25.5">
      <c r="A74" s="285">
        <v>1</v>
      </c>
      <c r="B74" s="232" t="s">
        <v>20</v>
      </c>
      <c r="C74" s="286" t="s">
        <v>27</v>
      </c>
      <c r="D74" s="287">
        <f>1*0.5/104*E74</f>
        <v>8.6538461538461536E-2</v>
      </c>
      <c r="E74" s="288">
        <f>E69</f>
        <v>18</v>
      </c>
      <c r="F74" s="289">
        <v>1</v>
      </c>
      <c r="G74" s="290">
        <f>D74*F74/E74</f>
        <v>4.807692307692308E-3</v>
      </c>
      <c r="H74" s="291">
        <f>T74</f>
        <v>31956.240000000002</v>
      </c>
      <c r="I74" s="292"/>
      <c r="J74" s="293">
        <f>G74*H74</f>
        <v>153.63576923076926</v>
      </c>
      <c r="K74" s="380"/>
      <c r="L74" s="294"/>
      <c r="M74" s="285">
        <v>1</v>
      </c>
      <c r="N74" s="232" t="s">
        <v>20</v>
      </c>
      <c r="O74" s="286" t="s">
        <v>27</v>
      </c>
      <c r="P74" s="287">
        <f>1*0.5/104*Q74</f>
        <v>0.41346153846153849</v>
      </c>
      <c r="Q74" s="288">
        <f>Q69</f>
        <v>86</v>
      </c>
      <c r="R74" s="289">
        <v>1</v>
      </c>
      <c r="S74" s="290">
        <f>P74*R74/Q74</f>
        <v>4.807692307692308E-3</v>
      </c>
      <c r="T74" s="291">
        <f>AF74</f>
        <v>31956.240000000002</v>
      </c>
      <c r="U74" s="292"/>
      <c r="V74" s="293">
        <f>S74*T74</f>
        <v>153.63576923076926</v>
      </c>
      <c r="W74" s="380"/>
      <c r="X74" s="295"/>
      <c r="Y74" s="285">
        <v>1</v>
      </c>
      <c r="Z74" s="232" t="s">
        <v>20</v>
      </c>
      <c r="AA74" s="286" t="s">
        <v>27</v>
      </c>
      <c r="AB74" s="170">
        <f>1*0.5</f>
        <v>0.5</v>
      </c>
      <c r="AC74" s="296">
        <f>AC69</f>
        <v>104</v>
      </c>
      <c r="AD74" s="297">
        <v>1</v>
      </c>
      <c r="AE74" s="298">
        <f>AB74*AD74/AC74</f>
        <v>4.807692307692308E-3</v>
      </c>
      <c r="AF74" s="299">
        <v>31956.240000000002</v>
      </c>
      <c r="AG74" s="300"/>
      <c r="AH74" s="293">
        <f>AE74*AF74</f>
        <v>153.63576923076926</v>
      </c>
      <c r="AI74" s="380"/>
      <c r="AJ74" s="301">
        <f t="shared" ref="AJ74:AJ76" si="78">AB74+P74+D74</f>
        <v>1</v>
      </c>
      <c r="AK74" s="302">
        <f>AH74*AC74+V74*Q74+J74*E74</f>
        <v>31956.240000000005</v>
      </c>
      <c r="AL74" s="303">
        <v>31956.240000000002</v>
      </c>
      <c r="AM74" s="304">
        <f>AL74-AK74</f>
        <v>0</v>
      </c>
      <c r="AO74" s="305"/>
      <c r="AP74" s="208"/>
      <c r="AQ74" s="208"/>
      <c r="AR74" s="208"/>
      <c r="AS74" s="208"/>
    </row>
    <row r="75" spans="1:46" s="179" customFormat="1" ht="38.25">
      <c r="A75" s="285">
        <v>2</v>
      </c>
      <c r="B75" s="232" t="s">
        <v>22</v>
      </c>
      <c r="C75" s="286" t="s">
        <v>123</v>
      </c>
      <c r="D75" s="287">
        <f>1/104*E75</f>
        <v>0.17307692307692307</v>
      </c>
      <c r="E75" s="288">
        <f>E74</f>
        <v>18</v>
      </c>
      <c r="F75" s="289">
        <v>1</v>
      </c>
      <c r="G75" s="290">
        <f>D75*F75/E75</f>
        <v>9.6153846153846159E-3</v>
      </c>
      <c r="H75" s="291">
        <f t="shared" ref="H75:H76" si="79">T75</f>
        <v>110000</v>
      </c>
      <c r="I75" s="292"/>
      <c r="J75" s="293">
        <f>G75*H75</f>
        <v>1057.6923076923078</v>
      </c>
      <c r="K75" s="382"/>
      <c r="L75" s="294"/>
      <c r="M75" s="285">
        <v>2</v>
      </c>
      <c r="N75" s="232" t="s">
        <v>22</v>
      </c>
      <c r="O75" s="286" t="s">
        <v>123</v>
      </c>
      <c r="P75" s="287">
        <f>1/104*Q75</f>
        <v>0.82692307692307698</v>
      </c>
      <c r="Q75" s="288">
        <f>Q74</f>
        <v>86</v>
      </c>
      <c r="R75" s="289">
        <v>1</v>
      </c>
      <c r="S75" s="290">
        <f>P75*R75/Q75</f>
        <v>9.6153846153846159E-3</v>
      </c>
      <c r="T75" s="291">
        <f t="shared" ref="T75:T76" si="80">AF75</f>
        <v>110000</v>
      </c>
      <c r="U75" s="292"/>
      <c r="V75" s="293">
        <f>S75*T75</f>
        <v>1057.6923076923078</v>
      </c>
      <c r="W75" s="382"/>
      <c r="X75" s="295"/>
      <c r="Y75" s="285">
        <v>2</v>
      </c>
      <c r="Z75" s="232" t="s">
        <v>22</v>
      </c>
      <c r="AA75" s="286" t="s">
        <v>123</v>
      </c>
      <c r="AB75" s="170">
        <v>0</v>
      </c>
      <c r="AC75" s="296">
        <f>AC74</f>
        <v>104</v>
      </c>
      <c r="AD75" s="297">
        <v>1</v>
      </c>
      <c r="AE75" s="298">
        <f>AB75*AD75/AC75</f>
        <v>0</v>
      </c>
      <c r="AF75" s="299">
        <v>110000</v>
      </c>
      <c r="AG75" s="300"/>
      <c r="AH75" s="293">
        <f>AE75*AF75</f>
        <v>0</v>
      </c>
      <c r="AI75" s="382"/>
      <c r="AJ75" s="301">
        <f t="shared" si="78"/>
        <v>1</v>
      </c>
      <c r="AK75" s="302">
        <f>AH75*AC75+V75*Q75+J75*E75</f>
        <v>110000.00000000001</v>
      </c>
      <c r="AL75" s="306">
        <f>60000+50000</f>
        <v>110000</v>
      </c>
      <c r="AM75" s="304">
        <f t="shared" ref="AM75:AM76" si="81">AL75-AK75</f>
        <v>0</v>
      </c>
      <c r="AN75" s="307" t="s">
        <v>214</v>
      </c>
      <c r="AO75" s="305"/>
      <c r="AP75" s="208"/>
      <c r="AQ75" s="208"/>
      <c r="AR75" s="208"/>
      <c r="AS75" s="208"/>
    </row>
    <row r="76" spans="1:46" s="179" customFormat="1" ht="38.25">
      <c r="A76" s="308">
        <v>3</v>
      </c>
      <c r="B76" s="232" t="s">
        <v>23</v>
      </c>
      <c r="C76" s="309" t="s">
        <v>75</v>
      </c>
      <c r="D76" s="287">
        <f>1*0.5/104*E76</f>
        <v>8.6538461538461536E-2</v>
      </c>
      <c r="E76" s="288">
        <f>E74</f>
        <v>18</v>
      </c>
      <c r="F76" s="289">
        <v>1</v>
      </c>
      <c r="G76" s="290">
        <f>D76*F76/E76</f>
        <v>4.807692307692308E-3</v>
      </c>
      <c r="H76" s="291">
        <f t="shared" si="79"/>
        <v>1000</v>
      </c>
      <c r="I76" s="292"/>
      <c r="J76" s="293">
        <f>G76*H76</f>
        <v>4.8076923076923084</v>
      </c>
      <c r="K76" s="382"/>
      <c r="L76" s="294"/>
      <c r="M76" s="308">
        <v>3</v>
      </c>
      <c r="N76" s="232" t="s">
        <v>23</v>
      </c>
      <c r="O76" s="309" t="s">
        <v>75</v>
      </c>
      <c r="P76" s="287">
        <f>1*0.5/104*Q76</f>
        <v>0.41346153846153849</v>
      </c>
      <c r="Q76" s="288">
        <f>Q74</f>
        <v>86</v>
      </c>
      <c r="R76" s="289">
        <v>1</v>
      </c>
      <c r="S76" s="290">
        <f>P76*R76/Q76</f>
        <v>4.807692307692308E-3</v>
      </c>
      <c r="T76" s="291">
        <f t="shared" si="80"/>
        <v>1000</v>
      </c>
      <c r="U76" s="292"/>
      <c r="V76" s="293">
        <f>S76*T76</f>
        <v>4.8076923076923084</v>
      </c>
      <c r="W76" s="382"/>
      <c r="X76" s="295"/>
      <c r="Y76" s="308">
        <v>3</v>
      </c>
      <c r="Z76" s="232" t="s">
        <v>23</v>
      </c>
      <c r="AA76" s="309" t="s">
        <v>75</v>
      </c>
      <c r="AB76" s="170">
        <f>1*0.5</f>
        <v>0.5</v>
      </c>
      <c r="AC76" s="296">
        <f>AC74</f>
        <v>104</v>
      </c>
      <c r="AD76" s="297">
        <v>1</v>
      </c>
      <c r="AE76" s="298">
        <f>AB76*AD76/AC76</f>
        <v>4.807692307692308E-3</v>
      </c>
      <c r="AF76" s="299">
        <v>1000</v>
      </c>
      <c r="AG76" s="300"/>
      <c r="AH76" s="293">
        <f>AE76*AF76</f>
        <v>4.8076923076923084</v>
      </c>
      <c r="AI76" s="382"/>
      <c r="AJ76" s="301">
        <f t="shared" si="78"/>
        <v>1</v>
      </c>
      <c r="AK76" s="302">
        <f>AH76*AC76+V76*Q76+J76*E76</f>
        <v>1000.0000000000001</v>
      </c>
      <c r="AL76" s="303">
        <v>1000</v>
      </c>
      <c r="AM76" s="304">
        <f t="shared" si="81"/>
        <v>0</v>
      </c>
      <c r="AO76" s="305"/>
      <c r="AP76" s="208"/>
      <c r="AQ76" s="208"/>
      <c r="AR76" s="208"/>
      <c r="AS76" s="208"/>
    </row>
    <row r="77" spans="1:46" ht="16.5" customHeight="1">
      <c r="A77" s="407" t="s">
        <v>25</v>
      </c>
      <c r="B77" s="408"/>
      <c r="C77" s="408"/>
      <c r="D77" s="408"/>
      <c r="E77" s="408"/>
      <c r="F77" s="408"/>
      <c r="G77" s="408"/>
      <c r="H77" s="408"/>
      <c r="I77" s="409"/>
      <c r="J77" s="258">
        <f>SUM(J74:J76)</f>
        <v>1216.1357692307695</v>
      </c>
      <c r="K77" s="381"/>
      <c r="L77" s="64"/>
      <c r="M77" s="407" t="s">
        <v>25</v>
      </c>
      <c r="N77" s="408"/>
      <c r="O77" s="408"/>
      <c r="P77" s="408"/>
      <c r="Q77" s="408"/>
      <c r="R77" s="408"/>
      <c r="S77" s="408"/>
      <c r="T77" s="408"/>
      <c r="U77" s="409"/>
      <c r="V77" s="258">
        <f>SUM(V74:V76)</f>
        <v>1216.1357692307695</v>
      </c>
      <c r="W77" s="381"/>
      <c r="X77" s="76"/>
      <c r="Y77" s="407" t="s">
        <v>25</v>
      </c>
      <c r="Z77" s="408"/>
      <c r="AA77" s="408"/>
      <c r="AB77" s="408"/>
      <c r="AC77" s="408"/>
      <c r="AD77" s="408"/>
      <c r="AE77" s="408"/>
      <c r="AF77" s="408"/>
      <c r="AG77" s="409"/>
      <c r="AH77" s="258">
        <f>SUM(AH74:AH76)</f>
        <v>158.44346153846158</v>
      </c>
      <c r="AI77" s="381"/>
      <c r="AJ77" s="42">
        <f>AH77*AC76+V77*Q76+J77*E75</f>
        <v>142956.24000000002</v>
      </c>
      <c r="AK77" s="156">
        <f>AK76+AK74+AK75</f>
        <v>142956.24000000002</v>
      </c>
      <c r="AL77" s="234">
        <f>AH146+AE146</f>
        <v>142956.24</v>
      </c>
      <c r="AM77" s="158"/>
      <c r="AO77" s="228"/>
      <c r="AP77" s="229"/>
      <c r="AQ77" s="233"/>
      <c r="AR77" s="24"/>
      <c r="AS77" s="26"/>
    </row>
    <row r="78" spans="1:46" ht="15" customHeight="1">
      <c r="A78" s="410" t="s">
        <v>24</v>
      </c>
      <c r="B78" s="411"/>
      <c r="C78" s="411"/>
      <c r="D78" s="411"/>
      <c r="E78" s="411"/>
      <c r="F78" s="411"/>
      <c r="G78" s="411"/>
      <c r="H78" s="411"/>
      <c r="I78" s="411"/>
      <c r="J78" s="411"/>
      <c r="K78" s="412"/>
      <c r="L78" s="63"/>
      <c r="M78" s="410" t="s">
        <v>24</v>
      </c>
      <c r="N78" s="411"/>
      <c r="O78" s="411"/>
      <c r="P78" s="411"/>
      <c r="Q78" s="411"/>
      <c r="R78" s="411"/>
      <c r="S78" s="411"/>
      <c r="T78" s="411"/>
      <c r="U78" s="411"/>
      <c r="V78" s="411"/>
      <c r="W78" s="412"/>
      <c r="X78" s="75"/>
      <c r="Y78" s="410" t="s">
        <v>24</v>
      </c>
      <c r="Z78" s="411"/>
      <c r="AA78" s="411"/>
      <c r="AB78" s="411"/>
      <c r="AC78" s="411"/>
      <c r="AD78" s="411"/>
      <c r="AE78" s="411"/>
      <c r="AF78" s="411"/>
      <c r="AG78" s="411"/>
      <c r="AH78" s="411"/>
      <c r="AI78" s="412"/>
      <c r="AJ78" s="41"/>
      <c r="AK78" s="140">
        <f>AL77-AK77</f>
        <v>0</v>
      </c>
      <c r="AL78" s="278" t="s">
        <v>215</v>
      </c>
      <c r="AO78" s="24"/>
      <c r="AP78" s="26"/>
      <c r="AQ78" s="26"/>
      <c r="AR78" s="26"/>
      <c r="AS78" s="26"/>
    </row>
    <row r="79" spans="1:46" ht="39.75">
      <c r="A79" s="100">
        <v>1</v>
      </c>
      <c r="B79" s="102" t="s">
        <v>74</v>
      </c>
      <c r="C79" s="49" t="s">
        <v>28</v>
      </c>
      <c r="D79" s="81">
        <f>2/104*E79</f>
        <v>0.34615384615384615</v>
      </c>
      <c r="E79" s="28">
        <f>E76</f>
        <v>18</v>
      </c>
      <c r="F79" s="29">
        <v>1</v>
      </c>
      <c r="G79" s="48">
        <f>D79*F79/E79</f>
        <v>1.9230769230769232E-2</v>
      </c>
      <c r="H79" s="155">
        <f>T79</f>
        <v>5000</v>
      </c>
      <c r="I79" s="4"/>
      <c r="J79" s="256">
        <f>G79*H79</f>
        <v>96.15384615384616</v>
      </c>
      <c r="K79" s="395"/>
      <c r="L79" s="64"/>
      <c r="M79" s="100">
        <v>1</v>
      </c>
      <c r="N79" s="102" t="s">
        <v>74</v>
      </c>
      <c r="O79" s="49" t="s">
        <v>28</v>
      </c>
      <c r="P79" s="81">
        <f>2/104*Q79</f>
        <v>1.653846153846154</v>
      </c>
      <c r="Q79" s="28">
        <f>Q76</f>
        <v>86</v>
      </c>
      <c r="R79" s="29">
        <v>1</v>
      </c>
      <c r="S79" s="48">
        <f>P79*R79/Q79</f>
        <v>1.9230769230769232E-2</v>
      </c>
      <c r="T79" s="155">
        <f>AF79</f>
        <v>5000</v>
      </c>
      <c r="U79" s="4"/>
      <c r="V79" s="256">
        <f>S79*T79</f>
        <v>96.15384615384616</v>
      </c>
      <c r="W79" s="380"/>
      <c r="X79" s="76"/>
      <c r="Y79" s="100">
        <v>1</v>
      </c>
      <c r="Z79" s="102" t="s">
        <v>74</v>
      </c>
      <c r="AA79" s="49" t="s">
        <v>28</v>
      </c>
      <c r="AB79" s="107">
        <f>2*0.5</f>
        <v>1</v>
      </c>
      <c r="AC79" s="28">
        <f>AC76</f>
        <v>104</v>
      </c>
      <c r="AD79" s="29">
        <v>1</v>
      </c>
      <c r="AE79" s="48">
        <f>AB79*AD79/AC79</f>
        <v>9.6153846153846159E-3</v>
      </c>
      <c r="AF79" s="157">
        <v>5000</v>
      </c>
      <c r="AG79" s="4"/>
      <c r="AH79" s="256">
        <f>AE79*AF79</f>
        <v>48.07692307692308</v>
      </c>
      <c r="AI79" s="380"/>
      <c r="AJ79" s="42">
        <f>AB79+P79+D79</f>
        <v>3.0000000000000004</v>
      </c>
      <c r="AK79" s="135">
        <f>AH79*AC79+V79*Q79+J79*E79</f>
        <v>15000</v>
      </c>
      <c r="AL79" s="152">
        <v>15000</v>
      </c>
      <c r="AM79" s="153">
        <f>AL79-AK79</f>
        <v>0</v>
      </c>
      <c r="AO79" s="24"/>
      <c r="AP79" s="26"/>
      <c r="AQ79" s="26"/>
      <c r="AR79" s="26"/>
      <c r="AS79" s="26"/>
      <c r="AT79" s="26"/>
    </row>
    <row r="80" spans="1:46">
      <c r="A80" s="407" t="s">
        <v>25</v>
      </c>
      <c r="B80" s="408"/>
      <c r="C80" s="408"/>
      <c r="D80" s="408"/>
      <c r="E80" s="408"/>
      <c r="F80" s="408"/>
      <c r="G80" s="408"/>
      <c r="H80" s="408"/>
      <c r="I80" s="409"/>
      <c r="J80" s="258">
        <f>SUM(J79:J79)</f>
        <v>96.15384615384616</v>
      </c>
      <c r="K80" s="381"/>
      <c r="L80" s="64"/>
      <c r="M80" s="407" t="s">
        <v>25</v>
      </c>
      <c r="N80" s="408"/>
      <c r="O80" s="408"/>
      <c r="P80" s="408"/>
      <c r="Q80" s="408"/>
      <c r="R80" s="408"/>
      <c r="S80" s="408"/>
      <c r="T80" s="408"/>
      <c r="U80" s="409"/>
      <c r="V80" s="258">
        <f>SUM(V79:V79)</f>
        <v>96.15384615384616</v>
      </c>
      <c r="W80" s="381"/>
      <c r="X80" s="76"/>
      <c r="Y80" s="407" t="s">
        <v>25</v>
      </c>
      <c r="Z80" s="408"/>
      <c r="AA80" s="408"/>
      <c r="AB80" s="408"/>
      <c r="AC80" s="408"/>
      <c r="AD80" s="408"/>
      <c r="AE80" s="408"/>
      <c r="AF80" s="408"/>
      <c r="AG80" s="409"/>
      <c r="AH80" s="258">
        <f>SUM(AH79:AH79)</f>
        <v>48.07692307692308</v>
      </c>
      <c r="AI80" s="381"/>
      <c r="AJ80" s="42">
        <f>AH80*AC79+V80*Q79+J80*E79</f>
        <v>15000</v>
      </c>
      <c r="AK80" s="156">
        <f>AK79</f>
        <v>15000</v>
      </c>
      <c r="AL80" s="227">
        <f>AH147</f>
        <v>15000</v>
      </c>
      <c r="AO80" s="228"/>
      <c r="AP80" s="229"/>
      <c r="AQ80" s="233"/>
      <c r="AR80" s="22"/>
      <c r="AS80" s="26"/>
      <c r="AT80" s="26"/>
    </row>
    <row r="81" spans="1:50" ht="15" customHeight="1">
      <c r="A81" s="404" t="s">
        <v>61</v>
      </c>
      <c r="B81" s="405"/>
      <c r="C81" s="405"/>
      <c r="D81" s="405"/>
      <c r="E81" s="405"/>
      <c r="F81" s="405"/>
      <c r="G81" s="405"/>
      <c r="H81" s="405"/>
      <c r="I81" s="405"/>
      <c r="J81" s="405"/>
      <c r="K81" s="406"/>
      <c r="L81" s="63"/>
      <c r="M81" s="404" t="s">
        <v>61</v>
      </c>
      <c r="N81" s="405"/>
      <c r="O81" s="405"/>
      <c r="P81" s="405"/>
      <c r="Q81" s="405"/>
      <c r="R81" s="405"/>
      <c r="S81" s="405"/>
      <c r="T81" s="405"/>
      <c r="U81" s="405"/>
      <c r="V81" s="405"/>
      <c r="W81" s="406"/>
      <c r="X81" s="75"/>
      <c r="Y81" s="404" t="s">
        <v>61</v>
      </c>
      <c r="Z81" s="405"/>
      <c r="AA81" s="405"/>
      <c r="AB81" s="405"/>
      <c r="AC81" s="405"/>
      <c r="AD81" s="405"/>
      <c r="AE81" s="405"/>
      <c r="AF81" s="405"/>
      <c r="AG81" s="405"/>
      <c r="AH81" s="405"/>
      <c r="AI81" s="406"/>
      <c r="AJ81" s="41"/>
      <c r="AK81" s="140">
        <f>AL80-AK80</f>
        <v>0</v>
      </c>
      <c r="AL81" s="276"/>
      <c r="AO81" s="24"/>
      <c r="AP81" s="26"/>
      <c r="AQ81" s="26"/>
      <c r="AR81" s="26"/>
      <c r="AS81" s="26"/>
      <c r="AT81" s="26"/>
    </row>
    <row r="82" spans="1:50" ht="29.25" customHeight="1">
      <c r="A82" s="100">
        <f>M82</f>
        <v>1</v>
      </c>
      <c r="B82" s="103" t="str">
        <f>N82</f>
        <v>Заведующий</v>
      </c>
      <c r="C82" s="49" t="s">
        <v>29</v>
      </c>
      <c r="D82" s="106">
        <f>1/2/104*E82</f>
        <v>8.6538461538461536E-2</v>
      </c>
      <c r="E82" s="28">
        <f>E79</f>
        <v>18</v>
      </c>
      <c r="F82" s="29">
        <v>1</v>
      </c>
      <c r="G82" s="48">
        <f t="shared" ref="G82:G87" si="82">D82*F82/E82</f>
        <v>4.807692307692308E-3</v>
      </c>
      <c r="H82" s="246">
        <f>T82</f>
        <v>1055161.1699999969</v>
      </c>
      <c r="I82" s="4"/>
      <c r="J82" s="256">
        <f t="shared" ref="J82:J87" si="83">G82*H82</f>
        <v>5072.8902403846005</v>
      </c>
      <c r="K82" s="380"/>
      <c r="L82" s="64"/>
      <c r="M82" s="100">
        <f>Y82</f>
        <v>1</v>
      </c>
      <c r="N82" s="103" t="str">
        <f>Z82</f>
        <v>Заведующий</v>
      </c>
      <c r="O82" s="49" t="s">
        <v>29</v>
      </c>
      <c r="P82" s="106">
        <f>1/2/104*Q82</f>
        <v>0.41346153846153849</v>
      </c>
      <c r="Q82" s="28">
        <f>Q79</f>
        <v>86</v>
      </c>
      <c r="R82" s="29">
        <v>1</v>
      </c>
      <c r="S82" s="48">
        <f t="shared" ref="S82:S87" si="84">P82*R82/Q82</f>
        <v>4.807692307692308E-3</v>
      </c>
      <c r="T82" s="246">
        <f>AF82</f>
        <v>1055161.1699999969</v>
      </c>
      <c r="U82" s="4"/>
      <c r="V82" s="256">
        <f t="shared" ref="V82:V87" si="85">S82*T82</f>
        <v>5072.8902403846005</v>
      </c>
      <c r="W82" s="380"/>
      <c r="X82" s="76"/>
      <c r="Y82" s="100">
        <v>1</v>
      </c>
      <c r="Z82" s="112" t="s">
        <v>124</v>
      </c>
      <c r="AA82" s="49" t="s">
        <v>29</v>
      </c>
      <c r="AB82" s="82">
        <f>1/2</f>
        <v>0.5</v>
      </c>
      <c r="AC82" s="28">
        <f>AC79</f>
        <v>104</v>
      </c>
      <c r="AD82" s="29">
        <v>1</v>
      </c>
      <c r="AE82" s="48">
        <f>AB82*AD82/AC82</f>
        <v>4.807692307692308E-3</v>
      </c>
      <c r="AF82" s="246">
        <f>(67534.637096774)*1.302*12</f>
        <v>1055161.1699999969</v>
      </c>
      <c r="AG82" s="4"/>
      <c r="AH82" s="256">
        <f>AE82*AF82</f>
        <v>5072.8902403846005</v>
      </c>
      <c r="AI82" s="380"/>
      <c r="AJ82" s="42">
        <f t="shared" ref="AJ82:AJ92" si="86">AB82+P82+D82</f>
        <v>1</v>
      </c>
      <c r="AK82" s="141">
        <f>AH82*AC82+V82*Q82+J82*E82</f>
        <v>1055161.1699999969</v>
      </c>
      <c r="AL82" s="152"/>
      <c r="AM82" s="153"/>
      <c r="AO82" s="235"/>
      <c r="AP82" s="15"/>
      <c r="AQ82" s="211"/>
      <c r="AR82" s="211"/>
    </row>
    <row r="83" spans="1:50" ht="27">
      <c r="A83" s="100">
        <f t="shared" ref="A83:A92" si="87">M83</f>
        <v>2</v>
      </c>
      <c r="B83" s="103" t="str">
        <f t="shared" ref="B83:B92" si="88">N83</f>
        <v>Заведующий хозяйством</v>
      </c>
      <c r="C83" s="49" t="s">
        <v>29</v>
      </c>
      <c r="D83" s="106">
        <f>1/2/104*E83</f>
        <v>8.6538461538461536E-2</v>
      </c>
      <c r="E83" s="28">
        <f>E82</f>
        <v>18</v>
      </c>
      <c r="F83" s="29">
        <v>1</v>
      </c>
      <c r="G83" s="48">
        <f t="shared" si="82"/>
        <v>4.807692307692308E-3</v>
      </c>
      <c r="H83" s="246">
        <f t="shared" ref="H83:H84" si="89">T83</f>
        <v>499968</v>
      </c>
      <c r="I83" s="4"/>
      <c r="J83" s="256">
        <f t="shared" si="83"/>
        <v>2403.6923076923076</v>
      </c>
      <c r="K83" s="382"/>
      <c r="L83" s="64"/>
      <c r="M83" s="100">
        <f t="shared" ref="M83:M92" si="90">Y83</f>
        <v>2</v>
      </c>
      <c r="N83" s="103" t="str">
        <f t="shared" ref="N83:N92" si="91">Z83</f>
        <v>Заведующий хозяйством</v>
      </c>
      <c r="O83" s="49" t="s">
        <v>29</v>
      </c>
      <c r="P83" s="106">
        <f>1/2/104*Q83</f>
        <v>0.41346153846153849</v>
      </c>
      <c r="Q83" s="28">
        <f>Q82</f>
        <v>86</v>
      </c>
      <c r="R83" s="29">
        <v>1</v>
      </c>
      <c r="S83" s="48">
        <f t="shared" si="84"/>
        <v>4.807692307692308E-3</v>
      </c>
      <c r="T83" s="246">
        <f t="shared" ref="T83:T84" si="92">AF83</f>
        <v>499968</v>
      </c>
      <c r="U83" s="4"/>
      <c r="V83" s="256">
        <f t="shared" si="85"/>
        <v>2403.6923076923076</v>
      </c>
      <c r="W83" s="382"/>
      <c r="X83" s="76"/>
      <c r="Y83" s="100">
        <v>2</v>
      </c>
      <c r="Z83" s="112" t="s">
        <v>125</v>
      </c>
      <c r="AA83" s="49" t="s">
        <v>29</v>
      </c>
      <c r="AB83" s="82">
        <f>1/2</f>
        <v>0.5</v>
      </c>
      <c r="AC83" s="28">
        <f>AC82</f>
        <v>104</v>
      </c>
      <c r="AD83" s="29">
        <v>1</v>
      </c>
      <c r="AE83" s="48">
        <f>AB83*AD83/AC83</f>
        <v>4.807692307692308E-3</v>
      </c>
      <c r="AF83" s="246">
        <f>(32000)*1.302*12</f>
        <v>499968</v>
      </c>
      <c r="AG83" s="4"/>
      <c r="AH83" s="256">
        <f>AE83*AF83</f>
        <v>2403.6923076923076</v>
      </c>
      <c r="AI83" s="382"/>
      <c r="AJ83" s="42">
        <f t="shared" si="86"/>
        <v>1</v>
      </c>
      <c r="AK83" s="141">
        <f>AH83*AC83+V83*Q83+J83*E83</f>
        <v>499968.00000000006</v>
      </c>
      <c r="AL83" s="152"/>
      <c r="AM83" s="237">
        <f>AM84-AL84</f>
        <v>0</v>
      </c>
      <c r="AO83" s="235"/>
      <c r="AP83" s="15"/>
      <c r="AQ83" s="211"/>
      <c r="AR83" s="211"/>
    </row>
    <row r="84" spans="1:50" ht="27">
      <c r="A84" s="100">
        <f t="shared" si="87"/>
        <v>3</v>
      </c>
      <c r="B84" s="103" t="str">
        <f t="shared" si="88"/>
        <v>Делопроизводитель</v>
      </c>
      <c r="C84" s="49" t="s">
        <v>29</v>
      </c>
      <c r="D84" s="106">
        <f>0.5/104*E84</f>
        <v>8.6538461538461536E-2</v>
      </c>
      <c r="E84" s="28">
        <f>E82</f>
        <v>18</v>
      </c>
      <c r="F84" s="29">
        <v>1</v>
      </c>
      <c r="G84" s="48">
        <f t="shared" si="82"/>
        <v>4.807692307692308E-3</v>
      </c>
      <c r="H84" s="246">
        <f t="shared" si="89"/>
        <v>499968</v>
      </c>
      <c r="I84" s="4"/>
      <c r="J84" s="256">
        <f t="shared" si="83"/>
        <v>2403.6923076923076</v>
      </c>
      <c r="K84" s="382"/>
      <c r="L84" s="64"/>
      <c r="M84" s="100">
        <f t="shared" si="90"/>
        <v>3</v>
      </c>
      <c r="N84" s="103" t="str">
        <f t="shared" si="91"/>
        <v>Делопроизводитель</v>
      </c>
      <c r="O84" s="49" t="s">
        <v>29</v>
      </c>
      <c r="P84" s="106">
        <f>0.5/104*Q84</f>
        <v>0.41346153846153849</v>
      </c>
      <c r="Q84" s="28">
        <f>Q82</f>
        <v>86</v>
      </c>
      <c r="R84" s="29">
        <v>1</v>
      </c>
      <c r="S84" s="48">
        <f t="shared" si="84"/>
        <v>4.807692307692308E-3</v>
      </c>
      <c r="T84" s="246">
        <f t="shared" si="92"/>
        <v>499968</v>
      </c>
      <c r="U84" s="4"/>
      <c r="V84" s="256">
        <f t="shared" si="85"/>
        <v>2403.6923076923076</v>
      </c>
      <c r="W84" s="382"/>
      <c r="X84" s="76"/>
      <c r="Y84" s="100">
        <v>3</v>
      </c>
      <c r="Z84" s="112" t="s">
        <v>92</v>
      </c>
      <c r="AA84" s="49" t="s">
        <v>29</v>
      </c>
      <c r="AB84" s="82">
        <v>0.5</v>
      </c>
      <c r="AC84" s="28">
        <f>AC82</f>
        <v>104</v>
      </c>
      <c r="AD84" s="29">
        <v>1</v>
      </c>
      <c r="AE84" s="48">
        <f>AB84*AD84/AC84</f>
        <v>4.807692307692308E-3</v>
      </c>
      <c r="AF84" s="246">
        <f>(32000)*1.302*12</f>
        <v>499968</v>
      </c>
      <c r="AG84" s="4"/>
      <c r="AH84" s="256">
        <f>AE84*AF84</f>
        <v>2403.6923076923076</v>
      </c>
      <c r="AI84" s="382"/>
      <c r="AJ84" s="42">
        <f t="shared" si="86"/>
        <v>1</v>
      </c>
      <c r="AK84" s="141">
        <f t="shared" ref="AK84:AK91" si="93">AH84*AC84+V84*Q84+J84*E84</f>
        <v>499968.00000000006</v>
      </c>
      <c r="AL84" s="152">
        <f>AK82+AK83+AK84+AL8</f>
        <v>6041636.3900000062</v>
      </c>
      <c r="AM84" s="234">
        <f>AE143</f>
        <v>6041636.3900000006</v>
      </c>
      <c r="AN84" s="158">
        <v>74080</v>
      </c>
      <c r="AO84" s="235"/>
      <c r="AP84" s="15"/>
      <c r="AQ84" s="211"/>
      <c r="AR84" s="211"/>
    </row>
    <row r="85" spans="1:50" ht="30">
      <c r="A85" s="100">
        <f t="shared" si="87"/>
        <v>4</v>
      </c>
      <c r="B85" s="103" t="str">
        <f t="shared" si="88"/>
        <v>Рабочий по обслуживанию и ремонту зданий</v>
      </c>
      <c r="C85" s="49" t="s">
        <v>29</v>
      </c>
      <c r="D85" s="106">
        <f>0.75/104*E85</f>
        <v>0.12980769230769232</v>
      </c>
      <c r="E85" s="28">
        <f>E82</f>
        <v>18</v>
      </c>
      <c r="F85" s="29">
        <v>1</v>
      </c>
      <c r="G85" s="48">
        <f t="shared" si="82"/>
        <v>7.2115384615384619E-3</v>
      </c>
      <c r="H85" s="246">
        <f>T85</f>
        <v>441705.94776000007</v>
      </c>
      <c r="I85" s="4"/>
      <c r="J85" s="256">
        <f t="shared" si="83"/>
        <v>3185.3794309615391</v>
      </c>
      <c r="K85" s="382"/>
      <c r="L85" s="64"/>
      <c r="M85" s="100">
        <f t="shared" si="90"/>
        <v>4</v>
      </c>
      <c r="N85" s="103" t="str">
        <f t="shared" si="91"/>
        <v>Рабочий по обслуживанию и ремонту зданий</v>
      </c>
      <c r="O85" s="49" t="s">
        <v>29</v>
      </c>
      <c r="P85" s="106">
        <f>0.75/104*Q85</f>
        <v>0.62019230769230771</v>
      </c>
      <c r="Q85" s="28">
        <f>Q82</f>
        <v>86</v>
      </c>
      <c r="R85" s="29">
        <v>1</v>
      </c>
      <c r="S85" s="48">
        <f t="shared" si="84"/>
        <v>7.2115384615384619E-3</v>
      </c>
      <c r="T85" s="246">
        <f>AF85</f>
        <v>441705.94776000007</v>
      </c>
      <c r="U85" s="4"/>
      <c r="V85" s="256">
        <f t="shared" si="85"/>
        <v>3185.3794309615391</v>
      </c>
      <c r="W85" s="382"/>
      <c r="X85" s="76"/>
      <c r="Y85" s="100">
        <v>4</v>
      </c>
      <c r="Z85" s="112" t="s">
        <v>46</v>
      </c>
      <c r="AA85" s="49" t="s">
        <v>29</v>
      </c>
      <c r="AB85" s="82">
        <v>0.75</v>
      </c>
      <c r="AC85" s="28">
        <f>AC82</f>
        <v>104</v>
      </c>
      <c r="AD85" s="29">
        <v>1</v>
      </c>
      <c r="AE85" s="48">
        <f>AB85*AD85/AC85</f>
        <v>7.2115384615384619E-3</v>
      </c>
      <c r="AF85" s="246">
        <f>(28270.99)*1.302*12</f>
        <v>441705.94776000007</v>
      </c>
      <c r="AG85" s="4"/>
      <c r="AH85" s="256">
        <f>AE85*AF85</f>
        <v>3185.3794309615391</v>
      </c>
      <c r="AI85" s="382"/>
      <c r="AJ85" s="284">
        <f t="shared" si="86"/>
        <v>1.5</v>
      </c>
      <c r="AK85" s="135">
        <f>AH85*AC85+V85*Q85+J85*E85</f>
        <v>662558.92164000007</v>
      </c>
      <c r="AL85" s="152">
        <f>SUM(AK85:AK92)</f>
        <v>5852603.120000002</v>
      </c>
      <c r="AM85" s="238">
        <f>AH143</f>
        <v>5852603.1200000001</v>
      </c>
      <c r="AN85" s="158">
        <v>18800</v>
      </c>
      <c r="AO85" s="24">
        <v>1.5</v>
      </c>
      <c r="AP85" s="26"/>
      <c r="AQ85" s="212"/>
      <c r="AR85" s="212"/>
      <c r="AS85" s="26"/>
      <c r="AT85" s="26"/>
    </row>
    <row r="86" spans="1:50" ht="27">
      <c r="A86" s="100">
        <f t="shared" si="87"/>
        <v>5</v>
      </c>
      <c r="B86" s="103" t="str">
        <f t="shared" si="88"/>
        <v>Сторож</v>
      </c>
      <c r="C86" s="49" t="s">
        <v>29</v>
      </c>
      <c r="D86" s="106">
        <f>3*0.5/104*E86</f>
        <v>0.25961538461538464</v>
      </c>
      <c r="E86" s="28">
        <f>E82</f>
        <v>18</v>
      </c>
      <c r="F86" s="29">
        <v>1</v>
      </c>
      <c r="G86" s="48">
        <f t="shared" si="82"/>
        <v>1.4423076923076924E-2</v>
      </c>
      <c r="H86" s="246">
        <f t="shared" ref="H86:H87" si="94">T86</f>
        <v>441705.94776000001</v>
      </c>
      <c r="I86" s="4"/>
      <c r="J86" s="256">
        <f t="shared" si="83"/>
        <v>6370.7588619230773</v>
      </c>
      <c r="K86" s="382"/>
      <c r="L86" s="64"/>
      <c r="M86" s="100">
        <f t="shared" si="90"/>
        <v>5</v>
      </c>
      <c r="N86" s="103" t="str">
        <f t="shared" si="91"/>
        <v>Сторож</v>
      </c>
      <c r="O86" s="49" t="s">
        <v>29</v>
      </c>
      <c r="P86" s="106">
        <f>3*0.5/104*Q86</f>
        <v>1.2403846153846154</v>
      </c>
      <c r="Q86" s="28">
        <f>Q82</f>
        <v>86</v>
      </c>
      <c r="R86" s="29">
        <v>1</v>
      </c>
      <c r="S86" s="48">
        <f t="shared" si="84"/>
        <v>1.4423076923076924E-2</v>
      </c>
      <c r="T86" s="246">
        <f>AF86</f>
        <v>441705.94776000001</v>
      </c>
      <c r="U86" s="4"/>
      <c r="V86" s="256">
        <f t="shared" si="85"/>
        <v>6370.7588619230773</v>
      </c>
      <c r="W86" s="382"/>
      <c r="X86" s="76"/>
      <c r="Y86" s="104">
        <v>5</v>
      </c>
      <c r="Z86" s="113" t="s">
        <v>155</v>
      </c>
      <c r="AA86" s="49" t="s">
        <v>29</v>
      </c>
      <c r="AB86" s="82">
        <f>3*0.5</f>
        <v>1.5</v>
      </c>
      <c r="AC86" s="28">
        <f>AC82</f>
        <v>104</v>
      </c>
      <c r="AD86" s="29">
        <v>1</v>
      </c>
      <c r="AE86" s="48">
        <f t="shared" ref="AE86:AE92" si="95">AB86*AD86/AC86</f>
        <v>1.4423076923076924E-2</v>
      </c>
      <c r="AF86" s="246">
        <f>(84812.97)*1.302/3*12</f>
        <v>441705.94776000001</v>
      </c>
      <c r="AG86" s="4"/>
      <c r="AH86" s="256">
        <f t="shared" ref="AH86:AH92" si="96">AE86*AF86</f>
        <v>6370.7588619230773</v>
      </c>
      <c r="AI86" s="382"/>
      <c r="AJ86" s="284">
        <f t="shared" si="86"/>
        <v>3</v>
      </c>
      <c r="AK86" s="135">
        <f t="shared" si="93"/>
        <v>1325117.8432800001</v>
      </c>
      <c r="AL86" s="152"/>
      <c r="AM86" s="223">
        <f>AM85-AL85</f>
        <v>0</v>
      </c>
      <c r="AO86" s="24">
        <v>3</v>
      </c>
      <c r="AP86" s="191"/>
      <c r="AQ86" s="212"/>
      <c r="AR86" s="212"/>
      <c r="AS86" s="191"/>
      <c r="AT86" s="26"/>
    </row>
    <row r="87" spans="1:50" ht="27">
      <c r="A87" s="100">
        <f t="shared" si="87"/>
        <v>6</v>
      </c>
      <c r="B87" s="103" t="str">
        <f t="shared" si="88"/>
        <v>Дворник</v>
      </c>
      <c r="C87" s="49" t="s">
        <v>29</v>
      </c>
      <c r="D87" s="106">
        <f>0.5/104*E87</f>
        <v>8.6538461538461536E-2</v>
      </c>
      <c r="E87" s="28">
        <f>E82</f>
        <v>18</v>
      </c>
      <c r="F87" s="29">
        <v>1</v>
      </c>
      <c r="G87" s="48">
        <f t="shared" si="82"/>
        <v>4.807692307692308E-3</v>
      </c>
      <c r="H87" s="246">
        <f t="shared" si="94"/>
        <v>441705.94776000007</v>
      </c>
      <c r="I87" s="4"/>
      <c r="J87" s="256">
        <f t="shared" si="83"/>
        <v>2123.5862873076926</v>
      </c>
      <c r="K87" s="382"/>
      <c r="L87" s="64"/>
      <c r="M87" s="100">
        <f t="shared" si="90"/>
        <v>6</v>
      </c>
      <c r="N87" s="103" t="str">
        <f t="shared" si="91"/>
        <v>Дворник</v>
      </c>
      <c r="O87" s="49" t="s">
        <v>29</v>
      </c>
      <c r="P87" s="106">
        <f>0.5/104*Q87</f>
        <v>0.41346153846153849</v>
      </c>
      <c r="Q87" s="28">
        <f>Q82</f>
        <v>86</v>
      </c>
      <c r="R87" s="29">
        <v>1</v>
      </c>
      <c r="S87" s="48">
        <f t="shared" si="84"/>
        <v>4.807692307692308E-3</v>
      </c>
      <c r="T87" s="246">
        <f>AF87</f>
        <v>441705.94776000007</v>
      </c>
      <c r="U87" s="4"/>
      <c r="V87" s="256">
        <f t="shared" si="85"/>
        <v>2123.5862873076926</v>
      </c>
      <c r="W87" s="382"/>
      <c r="X87" s="76"/>
      <c r="Y87" s="104">
        <v>6</v>
      </c>
      <c r="Z87" s="113" t="s">
        <v>77</v>
      </c>
      <c r="AA87" s="49" t="s">
        <v>29</v>
      </c>
      <c r="AB87" s="82">
        <v>0.5</v>
      </c>
      <c r="AC87" s="28">
        <f>AC82</f>
        <v>104</v>
      </c>
      <c r="AD87" s="29">
        <v>1</v>
      </c>
      <c r="AE87" s="48">
        <f t="shared" si="95"/>
        <v>4.807692307692308E-3</v>
      </c>
      <c r="AF87" s="246">
        <f>(56541.98)*1.302*12/2</f>
        <v>441705.94776000007</v>
      </c>
      <c r="AG87" s="4"/>
      <c r="AH87" s="256">
        <f t="shared" si="96"/>
        <v>2123.5862873076926</v>
      </c>
      <c r="AI87" s="382"/>
      <c r="AJ87" s="284">
        <f t="shared" si="86"/>
        <v>1</v>
      </c>
      <c r="AK87" s="135">
        <f t="shared" si="93"/>
        <v>441705.94776000007</v>
      </c>
      <c r="AL87" s="152"/>
      <c r="AM87" s="153"/>
      <c r="AO87" s="24">
        <v>1</v>
      </c>
      <c r="AP87" s="191"/>
      <c r="AQ87" s="212"/>
      <c r="AR87" s="212"/>
      <c r="AS87" s="191"/>
      <c r="AT87" s="26"/>
    </row>
    <row r="88" spans="1:50" ht="27">
      <c r="A88" s="100">
        <f t="shared" si="87"/>
        <v>7</v>
      </c>
      <c r="B88" s="103" t="str">
        <f t="shared" si="88"/>
        <v>Кастелянша</v>
      </c>
      <c r="C88" s="49" t="s">
        <v>29</v>
      </c>
      <c r="D88" s="106">
        <f>0.25/104*E88</f>
        <v>4.3269230769230768E-2</v>
      </c>
      <c r="E88" s="28">
        <f>E83</f>
        <v>18</v>
      </c>
      <c r="F88" s="29">
        <v>1</v>
      </c>
      <c r="G88" s="48">
        <f t="shared" ref="G88" si="97">D88*F88/E88</f>
        <v>2.403846153846154E-3</v>
      </c>
      <c r="H88" s="246">
        <f t="shared" ref="H88" si="98">T88</f>
        <v>441705.94776000007</v>
      </c>
      <c r="I88" s="4"/>
      <c r="J88" s="256">
        <f t="shared" ref="J88" si="99">G88*H88</f>
        <v>1061.7931436538463</v>
      </c>
      <c r="K88" s="382"/>
      <c r="L88" s="64"/>
      <c r="M88" s="100">
        <f t="shared" si="90"/>
        <v>7</v>
      </c>
      <c r="N88" s="103" t="str">
        <f t="shared" si="91"/>
        <v>Кастелянша</v>
      </c>
      <c r="O88" s="49" t="s">
        <v>29</v>
      </c>
      <c r="P88" s="106">
        <f>0.25/104*Q88</f>
        <v>0.20673076923076925</v>
      </c>
      <c r="Q88" s="28">
        <f>Q83</f>
        <v>86</v>
      </c>
      <c r="R88" s="29">
        <v>1</v>
      </c>
      <c r="S88" s="48">
        <f t="shared" ref="S88" si="100">P88*R88/Q88</f>
        <v>2.403846153846154E-3</v>
      </c>
      <c r="T88" s="246">
        <f>AF88</f>
        <v>441705.94776000007</v>
      </c>
      <c r="U88" s="4"/>
      <c r="V88" s="256">
        <f t="shared" ref="V88" si="101">S88*T88</f>
        <v>1061.7931436538463</v>
      </c>
      <c r="W88" s="382"/>
      <c r="X88" s="76"/>
      <c r="Y88" s="104">
        <v>7</v>
      </c>
      <c r="Z88" s="113" t="s">
        <v>225</v>
      </c>
      <c r="AA88" s="49" t="s">
        <v>29</v>
      </c>
      <c r="AB88" s="82">
        <v>0.25</v>
      </c>
      <c r="AC88" s="28">
        <f>AC87</f>
        <v>104</v>
      </c>
      <c r="AD88" s="29">
        <f>AD87</f>
        <v>1</v>
      </c>
      <c r="AE88" s="48">
        <f t="shared" ref="AE88" si="102">AB88*AD88/AC88</f>
        <v>2.403846153846154E-3</v>
      </c>
      <c r="AF88" s="246">
        <f>(14135.495)*1.302*12/0.5</f>
        <v>441705.94776000007</v>
      </c>
      <c r="AG88" s="4"/>
      <c r="AH88" s="256">
        <f t="shared" ref="AH88" si="103">AE88*AF88</f>
        <v>1061.7931436538463</v>
      </c>
      <c r="AI88" s="382"/>
      <c r="AJ88" s="284">
        <f t="shared" ref="AJ88" si="104">AB88+P88+D88</f>
        <v>0.5</v>
      </c>
      <c r="AK88" s="135">
        <f t="shared" si="93"/>
        <v>220852.97388000003</v>
      </c>
      <c r="AL88" s="152"/>
      <c r="AM88" s="153"/>
      <c r="AO88" s="24">
        <v>0.5</v>
      </c>
      <c r="AP88" s="191"/>
      <c r="AQ88" s="212"/>
      <c r="AR88" s="212"/>
      <c r="AS88" s="191"/>
      <c r="AT88" s="26"/>
    </row>
    <row r="89" spans="1:50" ht="21.75" customHeight="1">
      <c r="A89" s="100">
        <f t="shared" si="87"/>
        <v>8</v>
      </c>
      <c r="B89" s="103" t="str">
        <f t="shared" si="88"/>
        <v>Машинист по стирке белья</v>
      </c>
      <c r="C89" s="49"/>
      <c r="D89" s="82"/>
      <c r="E89" s="28"/>
      <c r="F89" s="29"/>
      <c r="G89" s="48"/>
      <c r="H89" s="246"/>
      <c r="I89" s="4"/>
      <c r="J89" s="256"/>
      <c r="K89" s="382"/>
      <c r="L89" s="64"/>
      <c r="M89" s="100">
        <f t="shared" si="90"/>
        <v>8</v>
      </c>
      <c r="N89" s="103" t="str">
        <f t="shared" si="91"/>
        <v>Машинист по стирке белья</v>
      </c>
      <c r="O89" s="49"/>
      <c r="P89" s="82"/>
      <c r="Q89" s="28"/>
      <c r="R89" s="29"/>
      <c r="S89" s="48"/>
      <c r="T89" s="246"/>
      <c r="U89" s="4"/>
      <c r="V89" s="256"/>
      <c r="W89" s="382"/>
      <c r="X89" s="76"/>
      <c r="Y89" s="104">
        <v>8</v>
      </c>
      <c r="Z89" s="113" t="s">
        <v>132</v>
      </c>
      <c r="AA89" s="49" t="s">
        <v>29</v>
      </c>
      <c r="AB89" s="82">
        <v>1.75</v>
      </c>
      <c r="AC89" s="28">
        <f>AC82</f>
        <v>104</v>
      </c>
      <c r="AD89" s="29">
        <v>1</v>
      </c>
      <c r="AE89" s="48">
        <f t="shared" si="95"/>
        <v>1.6826923076923076E-2</v>
      </c>
      <c r="AF89" s="246">
        <f>(28270.99)*1.302*12</f>
        <v>441705.94776000007</v>
      </c>
      <c r="AG89" s="4"/>
      <c r="AH89" s="256">
        <f t="shared" si="96"/>
        <v>7432.5520055769239</v>
      </c>
      <c r="AI89" s="382"/>
      <c r="AJ89" s="284">
        <f t="shared" si="86"/>
        <v>1.75</v>
      </c>
      <c r="AK89" s="135">
        <f t="shared" si="93"/>
        <v>772985.40858000005</v>
      </c>
      <c r="AL89" s="152"/>
      <c r="AM89" s="153"/>
      <c r="AO89" s="24">
        <v>1.75</v>
      </c>
      <c r="AP89" s="191"/>
      <c r="AQ89" s="212"/>
      <c r="AR89" s="212"/>
      <c r="AS89" s="191"/>
      <c r="AT89" s="26"/>
    </row>
    <row r="90" spans="1:50" ht="21.75" customHeight="1">
      <c r="A90" s="100">
        <f t="shared" si="87"/>
        <v>9</v>
      </c>
      <c r="B90" s="103" t="str">
        <f t="shared" si="88"/>
        <v>Уборщик служебных помещений</v>
      </c>
      <c r="C90" s="49"/>
      <c r="D90" s="82"/>
      <c r="E90" s="28"/>
      <c r="F90" s="29"/>
      <c r="G90" s="48"/>
      <c r="H90" s="246"/>
      <c r="I90" s="4"/>
      <c r="J90" s="256"/>
      <c r="K90" s="382"/>
      <c r="L90" s="64"/>
      <c r="M90" s="100">
        <f t="shared" si="90"/>
        <v>9</v>
      </c>
      <c r="N90" s="103" t="str">
        <f t="shared" si="91"/>
        <v>Уборщик служебных помещений</v>
      </c>
      <c r="O90" s="49"/>
      <c r="P90" s="82"/>
      <c r="Q90" s="28"/>
      <c r="R90" s="29"/>
      <c r="S90" s="48"/>
      <c r="T90" s="246"/>
      <c r="U90" s="4"/>
      <c r="V90" s="256"/>
      <c r="W90" s="382"/>
      <c r="X90" s="76"/>
      <c r="Y90" s="104">
        <v>9</v>
      </c>
      <c r="Z90" s="113" t="s">
        <v>222</v>
      </c>
      <c r="AA90" s="49" t="s">
        <v>29</v>
      </c>
      <c r="AB90" s="82">
        <v>1</v>
      </c>
      <c r="AC90" s="28">
        <f>AC82</f>
        <v>104</v>
      </c>
      <c r="AD90" s="29">
        <v>1</v>
      </c>
      <c r="AE90" s="48">
        <f t="shared" si="95"/>
        <v>9.6153846153846159E-3</v>
      </c>
      <c r="AF90" s="246">
        <f>(56541.98)*1.302*12/2</f>
        <v>441705.94776000007</v>
      </c>
      <c r="AG90" s="4"/>
      <c r="AH90" s="256">
        <f t="shared" si="96"/>
        <v>4247.1725746153852</v>
      </c>
      <c r="AI90" s="382"/>
      <c r="AJ90" s="284">
        <f t="shared" si="86"/>
        <v>1</v>
      </c>
      <c r="AK90" s="135">
        <f t="shared" si="93"/>
        <v>441705.94776000007</v>
      </c>
      <c r="AL90" s="152"/>
      <c r="AM90" s="153"/>
      <c r="AO90" s="24">
        <v>1</v>
      </c>
      <c r="AP90" s="191"/>
      <c r="AQ90" s="212"/>
      <c r="AR90" s="212"/>
      <c r="AS90" s="191"/>
      <c r="AT90" s="26"/>
    </row>
    <row r="91" spans="1:50" ht="21.75" customHeight="1">
      <c r="A91" s="100">
        <f t="shared" si="87"/>
        <v>10</v>
      </c>
      <c r="B91" s="103" t="str">
        <f t="shared" si="88"/>
        <v>Повар</v>
      </c>
      <c r="C91" s="49"/>
      <c r="D91" s="82"/>
      <c r="E91" s="28"/>
      <c r="F91" s="29"/>
      <c r="G91" s="48"/>
      <c r="H91" s="246"/>
      <c r="I91" s="4"/>
      <c r="J91" s="256"/>
      <c r="K91" s="382"/>
      <c r="L91" s="64"/>
      <c r="M91" s="100">
        <f t="shared" si="90"/>
        <v>10</v>
      </c>
      <c r="N91" s="103" t="str">
        <f t="shared" si="91"/>
        <v>Повар</v>
      </c>
      <c r="O91" s="49"/>
      <c r="P91" s="82"/>
      <c r="Q91" s="28"/>
      <c r="R91" s="29"/>
      <c r="S91" s="48"/>
      <c r="T91" s="246"/>
      <c r="U91" s="4"/>
      <c r="V91" s="256"/>
      <c r="W91" s="382"/>
      <c r="X91" s="76"/>
      <c r="Y91" s="104">
        <v>10</v>
      </c>
      <c r="Z91" s="113" t="s">
        <v>133</v>
      </c>
      <c r="AA91" s="49" t="s">
        <v>29</v>
      </c>
      <c r="AB91" s="82">
        <v>2.5</v>
      </c>
      <c r="AC91" s="28">
        <f>AC83</f>
        <v>104</v>
      </c>
      <c r="AD91" s="29">
        <v>1</v>
      </c>
      <c r="AE91" s="48">
        <f t="shared" si="95"/>
        <v>2.403846153846154E-2</v>
      </c>
      <c r="AF91" s="246">
        <f>(70677.475)*1.302/2.5*12</f>
        <v>441705.94776000007</v>
      </c>
      <c r="AG91" s="4"/>
      <c r="AH91" s="256">
        <f t="shared" si="96"/>
        <v>10617.931436538463</v>
      </c>
      <c r="AI91" s="382"/>
      <c r="AJ91" s="284">
        <f t="shared" si="86"/>
        <v>2.5</v>
      </c>
      <c r="AK91" s="135">
        <f t="shared" si="93"/>
        <v>1104264.8694000002</v>
      </c>
      <c r="AL91" s="152"/>
      <c r="AM91" s="153"/>
      <c r="AO91" s="24">
        <v>2.5</v>
      </c>
      <c r="AP91" s="191"/>
      <c r="AQ91" s="212"/>
      <c r="AR91" s="212"/>
      <c r="AS91" s="191"/>
      <c r="AT91" s="26"/>
    </row>
    <row r="92" spans="1:50" ht="21.75" customHeight="1">
      <c r="A92" s="100">
        <f t="shared" si="87"/>
        <v>11</v>
      </c>
      <c r="B92" s="103" t="str">
        <f t="shared" si="88"/>
        <v>Рабочий кухни</v>
      </c>
      <c r="C92" s="49"/>
      <c r="D92" s="82"/>
      <c r="E92" s="28"/>
      <c r="F92" s="29"/>
      <c r="G92" s="48"/>
      <c r="H92" s="246"/>
      <c r="I92" s="4"/>
      <c r="J92" s="256"/>
      <c r="K92" s="382"/>
      <c r="L92" s="64"/>
      <c r="M92" s="100">
        <f t="shared" si="90"/>
        <v>11</v>
      </c>
      <c r="N92" s="103" t="str">
        <f t="shared" si="91"/>
        <v>Рабочий кухни</v>
      </c>
      <c r="O92" s="49"/>
      <c r="P92" s="82"/>
      <c r="Q92" s="28"/>
      <c r="R92" s="29"/>
      <c r="S92" s="48"/>
      <c r="T92" s="246"/>
      <c r="U92" s="4"/>
      <c r="V92" s="256"/>
      <c r="W92" s="382"/>
      <c r="X92" s="76"/>
      <c r="Y92" s="104">
        <v>11</v>
      </c>
      <c r="Z92" s="101" t="s">
        <v>134</v>
      </c>
      <c r="AA92" s="49" t="s">
        <v>29</v>
      </c>
      <c r="AB92" s="82">
        <v>2</v>
      </c>
      <c r="AC92" s="28">
        <f>AC82</f>
        <v>104</v>
      </c>
      <c r="AD92" s="29">
        <v>1</v>
      </c>
      <c r="AE92" s="48">
        <f t="shared" si="95"/>
        <v>1.9230769230769232E-2</v>
      </c>
      <c r="AF92" s="246">
        <f>(28270.9679883513)*1.302*12</f>
        <v>441705.60385000077</v>
      </c>
      <c r="AG92" s="4"/>
      <c r="AH92" s="256">
        <f t="shared" si="96"/>
        <v>8494.3385355769387</v>
      </c>
      <c r="AI92" s="382"/>
      <c r="AJ92" s="284">
        <f t="shared" si="86"/>
        <v>2</v>
      </c>
      <c r="AK92" s="135">
        <f>AH92*AC92+V92*Q92+J92*E92</f>
        <v>883411.20770000166</v>
      </c>
      <c r="AL92" s="152">
        <f>AM84+AM85-AL8</f>
        <v>7907700.2899999917</v>
      </c>
      <c r="AM92" s="153"/>
      <c r="AO92" s="24">
        <v>2</v>
      </c>
      <c r="AP92" s="191"/>
      <c r="AQ92" s="212"/>
      <c r="AR92" s="212"/>
      <c r="AS92" s="26"/>
      <c r="AT92" s="26"/>
    </row>
    <row r="93" spans="1:50">
      <c r="A93" s="407" t="s">
        <v>25</v>
      </c>
      <c r="B93" s="408"/>
      <c r="C93" s="408"/>
      <c r="D93" s="408"/>
      <c r="E93" s="408"/>
      <c r="F93" s="408"/>
      <c r="G93" s="408"/>
      <c r="H93" s="408"/>
      <c r="I93" s="409"/>
      <c r="J93" s="258">
        <f>SUM(J82:J92)</f>
        <v>22621.792579615369</v>
      </c>
      <c r="K93" s="381"/>
      <c r="L93" s="64"/>
      <c r="M93" s="407" t="s">
        <v>25</v>
      </c>
      <c r="N93" s="408"/>
      <c r="O93" s="408"/>
      <c r="P93" s="408"/>
      <c r="Q93" s="408"/>
      <c r="R93" s="408"/>
      <c r="S93" s="408"/>
      <c r="T93" s="408"/>
      <c r="U93" s="409"/>
      <c r="V93" s="258">
        <f>SUM(V82:V92)</f>
        <v>22621.792579615369</v>
      </c>
      <c r="W93" s="381"/>
      <c r="X93" s="76"/>
      <c r="Y93" s="407" t="s">
        <v>25</v>
      </c>
      <c r="Z93" s="408"/>
      <c r="AA93" s="408"/>
      <c r="AB93" s="408"/>
      <c r="AC93" s="408"/>
      <c r="AD93" s="408"/>
      <c r="AE93" s="408"/>
      <c r="AF93" s="408"/>
      <c r="AG93" s="409"/>
      <c r="AH93" s="258">
        <f>SUM(AH82:AH92)</f>
        <v>53413.787131923076</v>
      </c>
      <c r="AI93" s="381"/>
      <c r="AJ93" s="77">
        <f>AH93*AC92+V93*Q87+J93*E87</f>
        <v>7907700.2899999982</v>
      </c>
      <c r="AK93" s="142">
        <f>SUM(AK82:AK92)</f>
        <v>7907700.2899999991</v>
      </c>
      <c r="AL93" s="152">
        <f>AL92-AJ93</f>
        <v>0</v>
      </c>
      <c r="AO93" s="239"/>
      <c r="AP93" s="240"/>
      <c r="AQ93" s="240"/>
      <c r="AR93" s="240"/>
      <c r="AS93" s="194"/>
      <c r="AT93" s="191"/>
    </row>
    <row r="94" spans="1:50" ht="21.75" customHeight="1">
      <c r="A94" s="410" t="s">
        <v>60</v>
      </c>
      <c r="B94" s="411"/>
      <c r="C94" s="411"/>
      <c r="D94" s="411"/>
      <c r="E94" s="411"/>
      <c r="F94" s="411"/>
      <c r="G94" s="411"/>
      <c r="H94" s="411"/>
      <c r="I94" s="411"/>
      <c r="J94" s="411"/>
      <c r="K94" s="412"/>
      <c r="L94" s="63"/>
      <c r="M94" s="410" t="s">
        <v>60</v>
      </c>
      <c r="N94" s="411"/>
      <c r="O94" s="411"/>
      <c r="P94" s="411"/>
      <c r="Q94" s="411"/>
      <c r="R94" s="411"/>
      <c r="S94" s="411"/>
      <c r="T94" s="411"/>
      <c r="U94" s="411"/>
      <c r="V94" s="411"/>
      <c r="W94" s="412"/>
      <c r="X94" s="75"/>
      <c r="Y94" s="410" t="s">
        <v>60</v>
      </c>
      <c r="Z94" s="411"/>
      <c r="AA94" s="411"/>
      <c r="AB94" s="411"/>
      <c r="AC94" s="411"/>
      <c r="AD94" s="411"/>
      <c r="AE94" s="411"/>
      <c r="AF94" s="411"/>
      <c r="AG94" s="411"/>
      <c r="AH94" s="411"/>
      <c r="AI94" s="412"/>
      <c r="AJ94" s="151">
        <f>AK93-AJ93</f>
        <v>0</v>
      </c>
      <c r="AK94" s="140"/>
      <c r="AL94" s="276"/>
      <c r="AO94" s="191"/>
      <c r="AP94" s="26"/>
      <c r="AQ94" s="212"/>
      <c r="AR94" s="191"/>
      <c r="AS94" s="194"/>
      <c r="AT94" s="26"/>
    </row>
    <row r="95" spans="1:50" s="326" customFormat="1" ht="24.95" customHeight="1">
      <c r="A95" s="311">
        <f>M95</f>
        <v>1</v>
      </c>
      <c r="B95" s="312" t="str">
        <f>N95</f>
        <v>Медикаменты</v>
      </c>
      <c r="C95" s="313" t="str">
        <f>O95</f>
        <v>сумма в год</v>
      </c>
      <c r="D95" s="314">
        <f t="shared" ref="D95:D104" si="105">0.5/104*E95</f>
        <v>8.6538461538461536E-2</v>
      </c>
      <c r="E95" s="315">
        <f>E87</f>
        <v>18</v>
      </c>
      <c r="F95" s="316">
        <v>1</v>
      </c>
      <c r="G95" s="317">
        <f t="shared" ref="G95:G130" si="106">D95*F95/E95</f>
        <v>4.807692307692308E-3</v>
      </c>
      <c r="H95" s="318">
        <f>T95</f>
        <v>11785</v>
      </c>
      <c r="I95" s="319"/>
      <c r="J95" s="320">
        <f t="shared" ref="J95:J130" si="107">G95*H95</f>
        <v>56.658653846153847</v>
      </c>
      <c r="K95" s="380"/>
      <c r="L95" s="321"/>
      <c r="M95" s="311">
        <f>Y95</f>
        <v>1</v>
      </c>
      <c r="N95" s="312" t="str">
        <f>Z95</f>
        <v>Медикаменты</v>
      </c>
      <c r="O95" s="313" t="str">
        <f>AA95</f>
        <v>сумма в год</v>
      </c>
      <c r="P95" s="314">
        <f t="shared" ref="P95:P104" si="108">0.5/104*Q95</f>
        <v>0.41346153846153849</v>
      </c>
      <c r="Q95" s="315">
        <f>Q87</f>
        <v>86</v>
      </c>
      <c r="R95" s="316">
        <v>1</v>
      </c>
      <c r="S95" s="317">
        <f t="shared" ref="S95:S130" si="109">P95*R95/Q95</f>
        <v>4.807692307692308E-3</v>
      </c>
      <c r="T95" s="318">
        <f>AF95</f>
        <v>11785</v>
      </c>
      <c r="U95" s="319"/>
      <c r="V95" s="320">
        <f>S95*T95</f>
        <v>56.658653846153847</v>
      </c>
      <c r="W95" s="380"/>
      <c r="X95" s="322"/>
      <c r="Y95" s="311">
        <v>1</v>
      </c>
      <c r="Z95" s="312" t="s">
        <v>93</v>
      </c>
      <c r="AA95" s="313" t="s">
        <v>47</v>
      </c>
      <c r="AB95" s="314">
        <v>0.5</v>
      </c>
      <c r="AC95" s="315">
        <f>AC92</f>
        <v>104</v>
      </c>
      <c r="AD95" s="316">
        <v>1</v>
      </c>
      <c r="AE95" s="317">
        <f t="shared" ref="AE95:AE130" si="110">AB95*AD95/AC95</f>
        <v>4.807692307692308E-3</v>
      </c>
      <c r="AF95" s="318">
        <v>11785</v>
      </c>
      <c r="AG95" s="319"/>
      <c r="AH95" s="320">
        <f>AE95*AF95</f>
        <v>56.658653846153847</v>
      </c>
      <c r="AI95" s="380"/>
      <c r="AJ95" s="323">
        <f>AB95+P95+D95</f>
        <v>1</v>
      </c>
      <c r="AK95" s="160">
        <f>AH95*AC95+V95*Q95+J95*E95</f>
        <v>11785</v>
      </c>
      <c r="AL95" s="324">
        <v>11785</v>
      </c>
      <c r="AM95" s="325">
        <f>AL95-AK95</f>
        <v>0</v>
      </c>
      <c r="AN95" s="326">
        <v>340</v>
      </c>
      <c r="AP95" s="327"/>
      <c r="AQ95" s="328"/>
      <c r="AR95" s="329"/>
      <c r="AS95" s="328"/>
      <c r="AT95" s="328"/>
      <c r="AU95" s="328"/>
      <c r="AV95" s="328"/>
      <c r="AW95" s="328"/>
      <c r="AX95" s="328"/>
    </row>
    <row r="96" spans="1:50" s="326" customFormat="1" ht="24.95" customHeight="1">
      <c r="A96" s="311">
        <f t="shared" ref="A96:A124" si="111">M96</f>
        <v>2</v>
      </c>
      <c r="B96" s="312" t="str">
        <f t="shared" ref="B96:B124" si="112">N96</f>
        <v>Комплектующие к оргтехнике</v>
      </c>
      <c r="C96" s="313" t="str">
        <f t="shared" ref="C96:C124" si="113">O96</f>
        <v>сумма в год</v>
      </c>
      <c r="D96" s="314">
        <f t="shared" si="105"/>
        <v>8.6538461538461536E-2</v>
      </c>
      <c r="E96" s="315">
        <f>E95</f>
        <v>18</v>
      </c>
      <c r="F96" s="316">
        <v>1</v>
      </c>
      <c r="G96" s="317">
        <f t="shared" si="106"/>
        <v>4.807692307692308E-3</v>
      </c>
      <c r="H96" s="318">
        <f t="shared" ref="H96:H130" si="114">T96</f>
        <v>0</v>
      </c>
      <c r="I96" s="319"/>
      <c r="J96" s="320">
        <f t="shared" si="107"/>
        <v>0</v>
      </c>
      <c r="K96" s="382"/>
      <c r="L96" s="321"/>
      <c r="M96" s="311">
        <f t="shared" ref="M96:M125" si="115">Y96</f>
        <v>2</v>
      </c>
      <c r="N96" s="312" t="str">
        <f t="shared" ref="N96:N125" si="116">Z96</f>
        <v>Комплектующие к оргтехнике</v>
      </c>
      <c r="O96" s="313" t="str">
        <f t="shared" ref="O96:O130" si="117">AA96</f>
        <v>сумма в год</v>
      </c>
      <c r="P96" s="314">
        <f t="shared" si="108"/>
        <v>0.41346153846153849</v>
      </c>
      <c r="Q96" s="315">
        <f>Q95</f>
        <v>86</v>
      </c>
      <c r="R96" s="316">
        <v>1</v>
      </c>
      <c r="S96" s="317">
        <f t="shared" si="109"/>
        <v>4.807692307692308E-3</v>
      </c>
      <c r="T96" s="318">
        <f t="shared" ref="T96:T130" si="118">AF96</f>
        <v>0</v>
      </c>
      <c r="U96" s="319"/>
      <c r="V96" s="320">
        <f t="shared" ref="V96:V130" si="119">S96*T96</f>
        <v>0</v>
      </c>
      <c r="W96" s="382"/>
      <c r="X96" s="322"/>
      <c r="Y96" s="311">
        <v>2</v>
      </c>
      <c r="Z96" s="312" t="s">
        <v>135</v>
      </c>
      <c r="AA96" s="313" t="s">
        <v>47</v>
      </c>
      <c r="AB96" s="314">
        <v>0.5</v>
      </c>
      <c r="AC96" s="315">
        <f>AC95</f>
        <v>104</v>
      </c>
      <c r="AD96" s="316">
        <v>1</v>
      </c>
      <c r="AE96" s="317">
        <f t="shared" si="110"/>
        <v>4.807692307692308E-3</v>
      </c>
      <c r="AF96" s="318">
        <v>0</v>
      </c>
      <c r="AG96" s="319"/>
      <c r="AH96" s="320">
        <f t="shared" ref="AH96:AH130" si="120">AE96*AF96</f>
        <v>0</v>
      </c>
      <c r="AI96" s="382"/>
      <c r="AJ96" s="323">
        <f t="shared" ref="AJ96:AJ130" si="121">AB96+P96+D96</f>
        <v>1</v>
      </c>
      <c r="AK96" s="160">
        <f t="shared" ref="AK96:AK130" si="122">AH96*AC96+V96*Q96+J96*E96</f>
        <v>0</v>
      </c>
      <c r="AL96" s="324">
        <v>0</v>
      </c>
      <c r="AM96" s="325">
        <f t="shared" ref="AM96:AM130" si="123">AL96-AK96</f>
        <v>0</v>
      </c>
      <c r="AN96" s="326">
        <v>340</v>
      </c>
      <c r="AP96" s="327"/>
      <c r="AQ96" s="328"/>
      <c r="AR96" s="329"/>
      <c r="AS96" s="328"/>
      <c r="AT96" s="328"/>
      <c r="AU96" s="328"/>
      <c r="AV96" s="328"/>
      <c r="AW96" s="328"/>
      <c r="AX96" s="328"/>
    </row>
    <row r="97" spans="1:50" s="326" customFormat="1" ht="24.95" customHeight="1">
      <c r="A97" s="311">
        <f t="shared" si="111"/>
        <v>3</v>
      </c>
      <c r="B97" s="312" t="str">
        <f t="shared" si="112"/>
        <v>Демеркуризация отработанных ламп</v>
      </c>
      <c r="C97" s="313" t="str">
        <f t="shared" si="113"/>
        <v>сумма в год</v>
      </c>
      <c r="D97" s="314">
        <f t="shared" si="105"/>
        <v>8.6538461538461536E-2</v>
      </c>
      <c r="E97" s="315">
        <f>E95</f>
        <v>18</v>
      </c>
      <c r="F97" s="316">
        <v>1</v>
      </c>
      <c r="G97" s="317">
        <f t="shared" si="106"/>
        <v>4.807692307692308E-3</v>
      </c>
      <c r="H97" s="318">
        <f t="shared" si="114"/>
        <v>1000</v>
      </c>
      <c r="I97" s="319"/>
      <c r="J97" s="320">
        <f t="shared" si="107"/>
        <v>4.8076923076923084</v>
      </c>
      <c r="K97" s="382"/>
      <c r="L97" s="321"/>
      <c r="M97" s="311">
        <f t="shared" si="115"/>
        <v>3</v>
      </c>
      <c r="N97" s="312" t="str">
        <f t="shared" si="116"/>
        <v>Демеркуризация отработанных ламп</v>
      </c>
      <c r="O97" s="313" t="str">
        <f t="shared" si="117"/>
        <v>сумма в год</v>
      </c>
      <c r="P97" s="314">
        <f t="shared" si="108"/>
        <v>0.41346153846153849</v>
      </c>
      <c r="Q97" s="315">
        <f t="shared" ref="Q97:Q130" si="124">Q96</f>
        <v>86</v>
      </c>
      <c r="R97" s="316">
        <v>1</v>
      </c>
      <c r="S97" s="317">
        <f t="shared" si="109"/>
        <v>4.807692307692308E-3</v>
      </c>
      <c r="T97" s="318">
        <f t="shared" si="118"/>
        <v>1000</v>
      </c>
      <c r="U97" s="319"/>
      <c r="V97" s="320">
        <f t="shared" si="119"/>
        <v>4.8076923076923084</v>
      </c>
      <c r="W97" s="382"/>
      <c r="X97" s="322"/>
      <c r="Y97" s="311">
        <v>3</v>
      </c>
      <c r="Z97" s="312" t="s">
        <v>94</v>
      </c>
      <c r="AA97" s="313" t="s">
        <v>47</v>
      </c>
      <c r="AB97" s="314">
        <v>0.5</v>
      </c>
      <c r="AC97" s="315">
        <f>AC95</f>
        <v>104</v>
      </c>
      <c r="AD97" s="316">
        <v>1</v>
      </c>
      <c r="AE97" s="317">
        <f t="shared" si="110"/>
        <v>4.807692307692308E-3</v>
      </c>
      <c r="AF97" s="318">
        <v>1000</v>
      </c>
      <c r="AG97" s="319"/>
      <c r="AH97" s="320">
        <f t="shared" si="120"/>
        <v>4.8076923076923084</v>
      </c>
      <c r="AI97" s="382"/>
      <c r="AJ97" s="323">
        <f t="shared" si="121"/>
        <v>1</v>
      </c>
      <c r="AK97" s="160">
        <f t="shared" si="122"/>
        <v>1000.0000000000001</v>
      </c>
      <c r="AL97" s="330">
        <v>1000</v>
      </c>
      <c r="AM97" s="325">
        <f t="shared" si="123"/>
        <v>0</v>
      </c>
      <c r="AN97" s="331">
        <v>226</v>
      </c>
      <c r="AO97" s="332">
        <f>SUM(AK97:AK102)+SUM(AK105:AK110)</f>
        <v>442252.66000000003</v>
      </c>
      <c r="AP97" s="333">
        <f>AH151</f>
        <v>442252.66</v>
      </c>
      <c r="AQ97" s="328"/>
      <c r="AR97" s="329"/>
      <c r="AS97" s="328"/>
      <c r="AT97" s="328"/>
      <c r="AU97" s="328"/>
      <c r="AV97" s="328"/>
      <c r="AW97" s="328"/>
      <c r="AX97" s="328"/>
    </row>
    <row r="98" spans="1:50" s="326" customFormat="1" ht="24.95" customHeight="1">
      <c r="A98" s="311">
        <f t="shared" si="111"/>
        <v>4</v>
      </c>
      <c r="B98" s="312" t="str">
        <f t="shared" si="112"/>
        <v>Обучение</v>
      </c>
      <c r="C98" s="313" t="str">
        <f t="shared" si="113"/>
        <v>сумма в год</v>
      </c>
      <c r="D98" s="314">
        <f t="shared" si="105"/>
        <v>8.6538461538461536E-2</v>
      </c>
      <c r="E98" s="315">
        <f>E95</f>
        <v>18</v>
      </c>
      <c r="F98" s="316">
        <v>1</v>
      </c>
      <c r="G98" s="317">
        <f t="shared" si="106"/>
        <v>4.807692307692308E-3</v>
      </c>
      <c r="H98" s="318">
        <f t="shared" si="114"/>
        <v>45000</v>
      </c>
      <c r="I98" s="319"/>
      <c r="J98" s="320">
        <f t="shared" si="107"/>
        <v>216.34615384615387</v>
      </c>
      <c r="K98" s="382"/>
      <c r="L98" s="321"/>
      <c r="M98" s="311">
        <f t="shared" si="115"/>
        <v>4</v>
      </c>
      <c r="N98" s="312" t="str">
        <f t="shared" si="116"/>
        <v>Обучение</v>
      </c>
      <c r="O98" s="313" t="str">
        <f t="shared" si="117"/>
        <v>сумма в год</v>
      </c>
      <c r="P98" s="314">
        <f t="shared" si="108"/>
        <v>0.41346153846153849</v>
      </c>
      <c r="Q98" s="315">
        <f t="shared" si="124"/>
        <v>86</v>
      </c>
      <c r="R98" s="316">
        <v>1</v>
      </c>
      <c r="S98" s="317">
        <f t="shared" si="109"/>
        <v>4.807692307692308E-3</v>
      </c>
      <c r="T98" s="318">
        <f t="shared" si="118"/>
        <v>45000</v>
      </c>
      <c r="U98" s="319"/>
      <c r="V98" s="320">
        <f t="shared" si="119"/>
        <v>216.34615384615387</v>
      </c>
      <c r="W98" s="382"/>
      <c r="X98" s="322"/>
      <c r="Y98" s="311">
        <v>4</v>
      </c>
      <c r="Z98" s="312" t="s">
        <v>78</v>
      </c>
      <c r="AA98" s="313" t="s">
        <v>47</v>
      </c>
      <c r="AB98" s="314">
        <v>0.5</v>
      </c>
      <c r="AC98" s="315">
        <f>AC95</f>
        <v>104</v>
      </c>
      <c r="AD98" s="316">
        <v>1</v>
      </c>
      <c r="AE98" s="317">
        <f t="shared" si="110"/>
        <v>4.807692307692308E-3</v>
      </c>
      <c r="AF98" s="318">
        <v>45000</v>
      </c>
      <c r="AG98" s="319"/>
      <c r="AH98" s="320">
        <f t="shared" si="120"/>
        <v>216.34615384615387</v>
      </c>
      <c r="AI98" s="382"/>
      <c r="AJ98" s="323">
        <f t="shared" si="121"/>
        <v>1</v>
      </c>
      <c r="AK98" s="160">
        <f t="shared" si="122"/>
        <v>45000</v>
      </c>
      <c r="AL98" s="330">
        <v>45000</v>
      </c>
      <c r="AM98" s="325">
        <f t="shared" si="123"/>
        <v>0</v>
      </c>
      <c r="AN98" s="326">
        <v>226</v>
      </c>
      <c r="AO98" s="334">
        <f>AP97-AO97</f>
        <v>0</v>
      </c>
      <c r="AP98" s="327"/>
      <c r="AQ98" s="328"/>
      <c r="AR98" s="329"/>
      <c r="AS98" s="328"/>
      <c r="AT98" s="328"/>
      <c r="AU98" s="328"/>
      <c r="AV98" s="328"/>
      <c r="AW98" s="328"/>
      <c r="AX98" s="328"/>
    </row>
    <row r="99" spans="1:50" s="326" customFormat="1" ht="30">
      <c r="A99" s="311">
        <f t="shared" si="111"/>
        <v>5</v>
      </c>
      <c r="B99" s="312" t="str">
        <f t="shared" si="112"/>
        <v>Испытание диэлектрических бот и перчаток</v>
      </c>
      <c r="C99" s="313" t="str">
        <f t="shared" si="113"/>
        <v>сумма в год</v>
      </c>
      <c r="D99" s="314">
        <f t="shared" si="105"/>
        <v>8.6538461538461536E-2</v>
      </c>
      <c r="E99" s="315">
        <f>E95</f>
        <v>18</v>
      </c>
      <c r="F99" s="316">
        <v>1</v>
      </c>
      <c r="G99" s="317">
        <f t="shared" si="106"/>
        <v>4.807692307692308E-3</v>
      </c>
      <c r="H99" s="318">
        <f t="shared" si="114"/>
        <v>4262.3999999999996</v>
      </c>
      <c r="I99" s="319"/>
      <c r="J99" s="320">
        <f t="shared" si="107"/>
        <v>20.492307692307691</v>
      </c>
      <c r="K99" s="382"/>
      <c r="L99" s="321"/>
      <c r="M99" s="311">
        <f t="shared" si="115"/>
        <v>5</v>
      </c>
      <c r="N99" s="312" t="str">
        <f t="shared" si="116"/>
        <v>Испытание диэлектрических бот и перчаток</v>
      </c>
      <c r="O99" s="313" t="str">
        <f t="shared" si="117"/>
        <v>сумма в год</v>
      </c>
      <c r="P99" s="314">
        <f t="shared" si="108"/>
        <v>0.41346153846153849</v>
      </c>
      <c r="Q99" s="315">
        <f t="shared" si="124"/>
        <v>86</v>
      </c>
      <c r="R99" s="316">
        <v>1</v>
      </c>
      <c r="S99" s="317">
        <f t="shared" si="109"/>
        <v>4.807692307692308E-3</v>
      </c>
      <c r="T99" s="318">
        <f t="shared" si="118"/>
        <v>4262.3999999999996</v>
      </c>
      <c r="U99" s="319"/>
      <c r="V99" s="320">
        <f t="shared" si="119"/>
        <v>20.492307692307691</v>
      </c>
      <c r="W99" s="382"/>
      <c r="X99" s="322"/>
      <c r="Y99" s="311">
        <v>5</v>
      </c>
      <c r="Z99" s="312" t="s">
        <v>172</v>
      </c>
      <c r="AA99" s="313" t="s">
        <v>47</v>
      </c>
      <c r="AB99" s="314">
        <v>0.5</v>
      </c>
      <c r="AC99" s="315">
        <f>AC95</f>
        <v>104</v>
      </c>
      <c r="AD99" s="316">
        <v>1</v>
      </c>
      <c r="AE99" s="317">
        <f t="shared" si="110"/>
        <v>4.807692307692308E-3</v>
      </c>
      <c r="AF99" s="318">
        <v>4262.3999999999996</v>
      </c>
      <c r="AG99" s="319"/>
      <c r="AH99" s="320">
        <f t="shared" si="120"/>
        <v>20.492307692307691</v>
      </c>
      <c r="AI99" s="382"/>
      <c r="AJ99" s="323">
        <f t="shared" si="121"/>
        <v>1</v>
      </c>
      <c r="AK99" s="160">
        <f t="shared" si="122"/>
        <v>4262.3999999999996</v>
      </c>
      <c r="AL99" s="330">
        <v>4262.3999999999996</v>
      </c>
      <c r="AM99" s="325">
        <f t="shared" si="123"/>
        <v>0</v>
      </c>
      <c r="AN99" s="326">
        <v>226</v>
      </c>
      <c r="AP99" s="327"/>
      <c r="AQ99" s="328"/>
      <c r="AR99" s="329"/>
      <c r="AS99" s="328"/>
      <c r="AT99" s="328"/>
      <c r="AU99" s="328"/>
      <c r="AV99" s="328"/>
      <c r="AW99" s="328"/>
      <c r="AX99" s="328"/>
    </row>
    <row r="100" spans="1:50" s="326" customFormat="1" ht="47.25">
      <c r="A100" s="311">
        <f t="shared" si="111"/>
        <v>6</v>
      </c>
      <c r="B100" s="312" t="str">
        <f t="shared" si="112"/>
        <v>контроль качестватекстильных материалов и деревянных конструкций</v>
      </c>
      <c r="C100" s="313" t="str">
        <f t="shared" si="113"/>
        <v>сумма в год</v>
      </c>
      <c r="D100" s="314">
        <f t="shared" si="105"/>
        <v>8.6538461538461536E-2</v>
      </c>
      <c r="E100" s="315">
        <f>E95</f>
        <v>18</v>
      </c>
      <c r="F100" s="316">
        <v>1</v>
      </c>
      <c r="G100" s="317">
        <f t="shared" si="106"/>
        <v>4.807692307692308E-3</v>
      </c>
      <c r="H100" s="318">
        <f t="shared" si="114"/>
        <v>4500</v>
      </c>
      <c r="I100" s="319"/>
      <c r="J100" s="320">
        <f t="shared" si="107"/>
        <v>21.634615384615387</v>
      </c>
      <c r="K100" s="382"/>
      <c r="L100" s="321"/>
      <c r="M100" s="311">
        <f t="shared" si="115"/>
        <v>6</v>
      </c>
      <c r="N100" s="312" t="str">
        <f t="shared" si="116"/>
        <v>контроль качестватекстильных материалов и деревянных конструкций</v>
      </c>
      <c r="O100" s="313" t="str">
        <f t="shared" si="117"/>
        <v>сумма в год</v>
      </c>
      <c r="P100" s="314">
        <f t="shared" si="108"/>
        <v>0.41346153846153849</v>
      </c>
      <c r="Q100" s="315">
        <f t="shared" si="124"/>
        <v>86</v>
      </c>
      <c r="R100" s="316">
        <v>1</v>
      </c>
      <c r="S100" s="317">
        <f t="shared" si="109"/>
        <v>4.807692307692308E-3</v>
      </c>
      <c r="T100" s="318">
        <f t="shared" si="118"/>
        <v>4500</v>
      </c>
      <c r="U100" s="319"/>
      <c r="V100" s="320">
        <f t="shared" si="119"/>
        <v>21.634615384615387</v>
      </c>
      <c r="W100" s="382"/>
      <c r="X100" s="322"/>
      <c r="Y100" s="311">
        <v>6</v>
      </c>
      <c r="Z100" s="335" t="s">
        <v>173</v>
      </c>
      <c r="AA100" s="313" t="s">
        <v>47</v>
      </c>
      <c r="AB100" s="336">
        <v>0.5</v>
      </c>
      <c r="AC100" s="315">
        <f>AC95</f>
        <v>104</v>
      </c>
      <c r="AD100" s="316">
        <v>1</v>
      </c>
      <c r="AE100" s="317">
        <f t="shared" si="110"/>
        <v>4.807692307692308E-3</v>
      </c>
      <c r="AF100" s="318">
        <v>4500</v>
      </c>
      <c r="AG100" s="319"/>
      <c r="AH100" s="320">
        <f t="shared" si="120"/>
        <v>21.634615384615387</v>
      </c>
      <c r="AI100" s="382"/>
      <c r="AJ100" s="323">
        <f t="shared" si="121"/>
        <v>1</v>
      </c>
      <c r="AK100" s="160">
        <f t="shared" si="122"/>
        <v>4500.0000000000009</v>
      </c>
      <c r="AL100" s="330">
        <v>4500</v>
      </c>
      <c r="AM100" s="325">
        <f t="shared" si="123"/>
        <v>0</v>
      </c>
      <c r="AN100" s="326">
        <v>226</v>
      </c>
      <c r="AP100" s="327"/>
      <c r="AQ100" s="328"/>
      <c r="AR100" s="329"/>
      <c r="AS100" s="328"/>
      <c r="AT100" s="328"/>
      <c r="AU100" s="328"/>
      <c r="AV100" s="328"/>
      <c r="AW100" s="328"/>
      <c r="AX100" s="328"/>
    </row>
    <row r="101" spans="1:50" s="326" customFormat="1" ht="30">
      <c r="A101" s="311">
        <f t="shared" si="111"/>
        <v>7</v>
      </c>
      <c r="B101" s="312" t="str">
        <f t="shared" si="112"/>
        <v>Услуги Центра гигиены и эпидемиологии</v>
      </c>
      <c r="C101" s="313" t="str">
        <f t="shared" si="113"/>
        <v>сумма в год</v>
      </c>
      <c r="D101" s="314">
        <f t="shared" si="105"/>
        <v>8.6538461538461536E-2</v>
      </c>
      <c r="E101" s="315">
        <f>E95</f>
        <v>18</v>
      </c>
      <c r="F101" s="316">
        <v>1</v>
      </c>
      <c r="G101" s="317">
        <f t="shared" si="106"/>
        <v>4.807692307692308E-3</v>
      </c>
      <c r="H101" s="318">
        <f t="shared" si="114"/>
        <v>238375.67999999999</v>
      </c>
      <c r="I101" s="319"/>
      <c r="J101" s="320">
        <f t="shared" si="107"/>
        <v>1146.0369230769231</v>
      </c>
      <c r="K101" s="382"/>
      <c r="L101" s="321"/>
      <c r="M101" s="311">
        <f t="shared" si="115"/>
        <v>7</v>
      </c>
      <c r="N101" s="312" t="str">
        <f t="shared" si="116"/>
        <v>Услуги Центра гигиены и эпидемиологии</v>
      </c>
      <c r="O101" s="313" t="str">
        <f t="shared" si="117"/>
        <v>сумма в год</v>
      </c>
      <c r="P101" s="314">
        <f t="shared" si="108"/>
        <v>0.41346153846153849</v>
      </c>
      <c r="Q101" s="315">
        <f t="shared" si="124"/>
        <v>86</v>
      </c>
      <c r="R101" s="316">
        <v>1</v>
      </c>
      <c r="S101" s="317">
        <f t="shared" si="109"/>
        <v>4.807692307692308E-3</v>
      </c>
      <c r="T101" s="318">
        <f t="shared" si="118"/>
        <v>238375.67999999999</v>
      </c>
      <c r="U101" s="319"/>
      <c r="V101" s="320">
        <f t="shared" si="119"/>
        <v>1146.0369230769231</v>
      </c>
      <c r="W101" s="382"/>
      <c r="X101" s="322"/>
      <c r="Y101" s="311">
        <v>7</v>
      </c>
      <c r="Z101" s="312" t="s">
        <v>137</v>
      </c>
      <c r="AA101" s="313" t="s">
        <v>47</v>
      </c>
      <c r="AB101" s="336">
        <v>0.5</v>
      </c>
      <c r="AC101" s="315">
        <f>AC95</f>
        <v>104</v>
      </c>
      <c r="AD101" s="316">
        <v>1</v>
      </c>
      <c r="AE101" s="317">
        <f t="shared" si="110"/>
        <v>4.807692307692308E-3</v>
      </c>
      <c r="AF101" s="318">
        <v>238375.67999999999</v>
      </c>
      <c r="AG101" s="319"/>
      <c r="AH101" s="320">
        <f t="shared" si="120"/>
        <v>1146.0369230769231</v>
      </c>
      <c r="AI101" s="382"/>
      <c r="AJ101" s="323">
        <f t="shared" si="121"/>
        <v>1</v>
      </c>
      <c r="AK101" s="160">
        <f t="shared" si="122"/>
        <v>238375.68000000002</v>
      </c>
      <c r="AL101" s="330">
        <v>238375.67999999999</v>
      </c>
      <c r="AM101" s="325">
        <f t="shared" si="123"/>
        <v>0</v>
      </c>
      <c r="AN101" s="326">
        <v>226</v>
      </c>
      <c r="AP101" s="327"/>
      <c r="AQ101" s="328"/>
      <c r="AR101" s="329"/>
      <c r="AS101" s="328"/>
      <c r="AT101" s="328"/>
      <c r="AU101" s="328"/>
      <c r="AV101" s="328"/>
      <c r="AW101" s="328"/>
      <c r="AX101" s="328"/>
    </row>
    <row r="102" spans="1:50" s="326" customFormat="1" ht="24.95" customHeight="1">
      <c r="A102" s="311">
        <f t="shared" si="111"/>
        <v>8</v>
      </c>
      <c r="B102" s="312" t="str">
        <f t="shared" si="112"/>
        <v>Замена тех.паспрта</v>
      </c>
      <c r="C102" s="313" t="str">
        <f t="shared" si="113"/>
        <v>сумма в год</v>
      </c>
      <c r="D102" s="314">
        <f t="shared" si="105"/>
        <v>8.6538461538461536E-2</v>
      </c>
      <c r="E102" s="315">
        <f>E95</f>
        <v>18</v>
      </c>
      <c r="F102" s="316">
        <v>1</v>
      </c>
      <c r="G102" s="317">
        <f t="shared" si="106"/>
        <v>4.807692307692308E-3</v>
      </c>
      <c r="H102" s="318">
        <f t="shared" si="114"/>
        <v>0</v>
      </c>
      <c r="I102" s="319"/>
      <c r="J102" s="320">
        <f t="shared" si="107"/>
        <v>0</v>
      </c>
      <c r="K102" s="382"/>
      <c r="L102" s="321"/>
      <c r="M102" s="311">
        <f t="shared" si="115"/>
        <v>8</v>
      </c>
      <c r="N102" s="312" t="str">
        <f t="shared" si="116"/>
        <v>Замена тех.паспрта</v>
      </c>
      <c r="O102" s="313" t="str">
        <f t="shared" si="117"/>
        <v>сумма в год</v>
      </c>
      <c r="P102" s="314">
        <f t="shared" si="108"/>
        <v>0.41346153846153849</v>
      </c>
      <c r="Q102" s="315">
        <f t="shared" si="124"/>
        <v>86</v>
      </c>
      <c r="R102" s="316">
        <v>1</v>
      </c>
      <c r="S102" s="317">
        <f t="shared" si="109"/>
        <v>4.807692307692308E-3</v>
      </c>
      <c r="T102" s="318">
        <f t="shared" si="118"/>
        <v>0</v>
      </c>
      <c r="U102" s="319"/>
      <c r="V102" s="320">
        <f t="shared" si="119"/>
        <v>0</v>
      </c>
      <c r="W102" s="382"/>
      <c r="X102" s="322"/>
      <c r="Y102" s="311">
        <v>8</v>
      </c>
      <c r="Z102" s="312" t="s">
        <v>218</v>
      </c>
      <c r="AA102" s="313" t="s">
        <v>47</v>
      </c>
      <c r="AB102" s="314">
        <v>0.5</v>
      </c>
      <c r="AC102" s="315">
        <f>AC95</f>
        <v>104</v>
      </c>
      <c r="AD102" s="316">
        <v>1</v>
      </c>
      <c r="AE102" s="317">
        <f t="shared" si="110"/>
        <v>4.807692307692308E-3</v>
      </c>
      <c r="AF102" s="318">
        <v>0</v>
      </c>
      <c r="AG102" s="319"/>
      <c r="AH102" s="320">
        <f t="shared" si="120"/>
        <v>0</v>
      </c>
      <c r="AI102" s="382"/>
      <c r="AJ102" s="323">
        <f t="shared" si="121"/>
        <v>1</v>
      </c>
      <c r="AK102" s="160">
        <f t="shared" si="122"/>
        <v>0</v>
      </c>
      <c r="AL102" s="330">
        <v>0</v>
      </c>
      <c r="AM102" s="325">
        <f t="shared" si="123"/>
        <v>0</v>
      </c>
      <c r="AN102" s="326">
        <v>226</v>
      </c>
      <c r="AP102" s="327"/>
      <c r="AQ102" s="328"/>
      <c r="AR102" s="329"/>
      <c r="AS102" s="328"/>
      <c r="AT102" s="328"/>
      <c r="AU102" s="329"/>
      <c r="AV102" s="328"/>
      <c r="AW102" s="328"/>
      <c r="AX102" s="328"/>
    </row>
    <row r="103" spans="1:50" s="326" customFormat="1" ht="24.95" customHeight="1">
      <c r="A103" s="311">
        <f t="shared" si="111"/>
        <v>9</v>
      </c>
      <c r="B103" s="312" t="str">
        <f t="shared" si="112"/>
        <v>Налоги, госпошлина</v>
      </c>
      <c r="C103" s="313" t="str">
        <f t="shared" si="113"/>
        <v>сумма в год</v>
      </c>
      <c r="D103" s="314">
        <f t="shared" si="105"/>
        <v>8.6538461538461536E-2</v>
      </c>
      <c r="E103" s="315">
        <f>E95</f>
        <v>18</v>
      </c>
      <c r="F103" s="316">
        <v>1</v>
      </c>
      <c r="G103" s="317">
        <f t="shared" si="106"/>
        <v>4.807692307692308E-3</v>
      </c>
      <c r="H103" s="318">
        <f t="shared" si="114"/>
        <v>2000</v>
      </c>
      <c r="I103" s="319"/>
      <c r="J103" s="320">
        <f t="shared" si="107"/>
        <v>9.6153846153846168</v>
      </c>
      <c r="K103" s="382"/>
      <c r="L103" s="321"/>
      <c r="M103" s="311">
        <f t="shared" si="115"/>
        <v>9</v>
      </c>
      <c r="N103" s="312" t="str">
        <f t="shared" si="116"/>
        <v>Налоги, госпошлина</v>
      </c>
      <c r="O103" s="313" t="str">
        <f t="shared" si="117"/>
        <v>сумма в год</v>
      </c>
      <c r="P103" s="314">
        <f t="shared" si="108"/>
        <v>0.41346153846153849</v>
      </c>
      <c r="Q103" s="315">
        <f t="shared" si="124"/>
        <v>86</v>
      </c>
      <c r="R103" s="316">
        <v>1</v>
      </c>
      <c r="S103" s="317">
        <f t="shared" si="109"/>
        <v>4.807692307692308E-3</v>
      </c>
      <c r="T103" s="318">
        <f t="shared" si="118"/>
        <v>2000</v>
      </c>
      <c r="U103" s="319"/>
      <c r="V103" s="320">
        <f t="shared" si="119"/>
        <v>9.6153846153846168</v>
      </c>
      <c r="W103" s="382"/>
      <c r="X103" s="322"/>
      <c r="Y103" s="311">
        <v>9</v>
      </c>
      <c r="Z103" s="312" t="s">
        <v>96</v>
      </c>
      <c r="AA103" s="313" t="s">
        <v>47</v>
      </c>
      <c r="AB103" s="314">
        <v>0.5</v>
      </c>
      <c r="AC103" s="315">
        <f>AC95</f>
        <v>104</v>
      </c>
      <c r="AD103" s="316">
        <v>1</v>
      </c>
      <c r="AE103" s="317">
        <f t="shared" si="110"/>
        <v>4.807692307692308E-3</v>
      </c>
      <c r="AF103" s="318">
        <v>2000</v>
      </c>
      <c r="AG103" s="319"/>
      <c r="AH103" s="320">
        <f t="shared" si="120"/>
        <v>9.6153846153846168</v>
      </c>
      <c r="AI103" s="382"/>
      <c r="AJ103" s="323">
        <f t="shared" si="121"/>
        <v>1</v>
      </c>
      <c r="AK103" s="160">
        <f t="shared" si="122"/>
        <v>2000.0000000000002</v>
      </c>
      <c r="AL103" s="337">
        <f>AH152</f>
        <v>2000</v>
      </c>
      <c r="AM103" s="325">
        <f t="shared" si="123"/>
        <v>0</v>
      </c>
      <c r="AN103" s="326">
        <v>290</v>
      </c>
      <c r="AP103" s="327"/>
      <c r="AQ103" s="328"/>
      <c r="AR103" s="329"/>
      <c r="AS103" s="328"/>
      <c r="AT103" s="328"/>
      <c r="AU103" s="328"/>
      <c r="AV103" s="328"/>
      <c r="AW103" s="328"/>
      <c r="AX103" s="328"/>
    </row>
    <row r="104" spans="1:50" s="326" customFormat="1" ht="30">
      <c r="A104" s="311">
        <f t="shared" si="111"/>
        <v>10</v>
      </c>
      <c r="B104" s="312" t="str">
        <f t="shared" si="112"/>
        <v>пособие по уходу за ребенком до 3-х лет</v>
      </c>
      <c r="C104" s="313" t="str">
        <f t="shared" si="113"/>
        <v>сумма в год</v>
      </c>
      <c r="D104" s="314">
        <f t="shared" si="105"/>
        <v>8.6538461538461536E-2</v>
      </c>
      <c r="E104" s="315">
        <f>E95</f>
        <v>18</v>
      </c>
      <c r="F104" s="316">
        <v>1</v>
      </c>
      <c r="G104" s="317">
        <f t="shared" si="106"/>
        <v>4.807692307692308E-3</v>
      </c>
      <c r="H104" s="318">
        <f t="shared" si="114"/>
        <v>900</v>
      </c>
      <c r="I104" s="319"/>
      <c r="J104" s="320">
        <f t="shared" si="107"/>
        <v>4.3269230769230775</v>
      </c>
      <c r="K104" s="382"/>
      <c r="L104" s="321"/>
      <c r="M104" s="311">
        <f t="shared" si="115"/>
        <v>10</v>
      </c>
      <c r="N104" s="312" t="str">
        <f t="shared" si="116"/>
        <v>пособие по уходу за ребенком до 3-х лет</v>
      </c>
      <c r="O104" s="313" t="str">
        <f t="shared" si="117"/>
        <v>сумма в год</v>
      </c>
      <c r="P104" s="314">
        <f t="shared" si="108"/>
        <v>0.41346153846153849</v>
      </c>
      <c r="Q104" s="315">
        <f t="shared" si="124"/>
        <v>86</v>
      </c>
      <c r="R104" s="316">
        <v>1</v>
      </c>
      <c r="S104" s="317">
        <f t="shared" si="109"/>
        <v>4.807692307692308E-3</v>
      </c>
      <c r="T104" s="318">
        <f t="shared" si="118"/>
        <v>900</v>
      </c>
      <c r="U104" s="319"/>
      <c r="V104" s="320">
        <f t="shared" si="119"/>
        <v>4.3269230769230775</v>
      </c>
      <c r="W104" s="382"/>
      <c r="X104" s="322"/>
      <c r="Y104" s="311">
        <v>10</v>
      </c>
      <c r="Z104" s="312" t="s">
        <v>97</v>
      </c>
      <c r="AA104" s="313" t="s">
        <v>47</v>
      </c>
      <c r="AB104" s="314">
        <v>0.5</v>
      </c>
      <c r="AC104" s="315">
        <f>AC95</f>
        <v>104</v>
      </c>
      <c r="AD104" s="316">
        <v>1</v>
      </c>
      <c r="AE104" s="317">
        <f t="shared" si="110"/>
        <v>4.807692307692308E-3</v>
      </c>
      <c r="AF104" s="318">
        <v>900</v>
      </c>
      <c r="AG104" s="319"/>
      <c r="AH104" s="320">
        <f t="shared" si="120"/>
        <v>4.3269230769230775</v>
      </c>
      <c r="AI104" s="382"/>
      <c r="AJ104" s="323">
        <f t="shared" si="121"/>
        <v>1</v>
      </c>
      <c r="AK104" s="160">
        <f t="shared" si="122"/>
        <v>900.00000000000011</v>
      </c>
      <c r="AL104" s="338">
        <f>AH145</f>
        <v>900</v>
      </c>
      <c r="AM104" s="325">
        <f t="shared" si="123"/>
        <v>0</v>
      </c>
      <c r="AN104" s="326">
        <v>212</v>
      </c>
      <c r="AP104" s="327"/>
      <c r="AQ104" s="328"/>
      <c r="AR104" s="329"/>
      <c r="AS104" s="328"/>
      <c r="AT104" s="328"/>
      <c r="AU104" s="328"/>
      <c r="AV104" s="328"/>
      <c r="AW104" s="328"/>
      <c r="AX104" s="328"/>
    </row>
    <row r="105" spans="1:50" s="326" customFormat="1" ht="45">
      <c r="A105" s="311">
        <f t="shared" si="111"/>
        <v>11</v>
      </c>
      <c r="B105" s="312" t="str">
        <f t="shared" si="112"/>
        <v>Медосмотр младшего обслуживающего и административного персонала</v>
      </c>
      <c r="C105" s="313" t="str">
        <f t="shared" si="113"/>
        <v>сумма в год</v>
      </c>
      <c r="D105" s="314">
        <f>12/104*E105</f>
        <v>2.0769230769230771</v>
      </c>
      <c r="E105" s="315">
        <f>E95</f>
        <v>18</v>
      </c>
      <c r="F105" s="316">
        <v>1</v>
      </c>
      <c r="G105" s="317">
        <f t="shared" si="106"/>
        <v>0.11538461538461539</v>
      </c>
      <c r="H105" s="318">
        <f t="shared" si="114"/>
        <v>2500</v>
      </c>
      <c r="I105" s="319"/>
      <c r="J105" s="320">
        <f t="shared" si="107"/>
        <v>288.46153846153845</v>
      </c>
      <c r="K105" s="382"/>
      <c r="L105" s="321"/>
      <c r="M105" s="311">
        <f t="shared" si="115"/>
        <v>11</v>
      </c>
      <c r="N105" s="312" t="str">
        <f t="shared" si="116"/>
        <v>Медосмотр младшего обслуживающего и административного персонала</v>
      </c>
      <c r="O105" s="313" t="str">
        <f t="shared" si="117"/>
        <v>сумма в год</v>
      </c>
      <c r="P105" s="314">
        <f>12/104*Q105</f>
        <v>9.9230769230769234</v>
      </c>
      <c r="Q105" s="315">
        <f t="shared" si="124"/>
        <v>86</v>
      </c>
      <c r="R105" s="316">
        <v>1</v>
      </c>
      <c r="S105" s="317">
        <f t="shared" si="109"/>
        <v>0.11538461538461539</v>
      </c>
      <c r="T105" s="318">
        <f t="shared" si="118"/>
        <v>2500</v>
      </c>
      <c r="U105" s="319"/>
      <c r="V105" s="320">
        <f t="shared" si="119"/>
        <v>288.46153846153845</v>
      </c>
      <c r="W105" s="382"/>
      <c r="X105" s="322"/>
      <c r="Y105" s="311">
        <v>11</v>
      </c>
      <c r="Z105" s="312" t="s">
        <v>157</v>
      </c>
      <c r="AA105" s="313" t="s">
        <v>47</v>
      </c>
      <c r="AB105" s="314">
        <v>16</v>
      </c>
      <c r="AC105" s="315">
        <f>AC95</f>
        <v>104</v>
      </c>
      <c r="AD105" s="316">
        <v>1</v>
      </c>
      <c r="AE105" s="317">
        <f t="shared" si="110"/>
        <v>0.15384615384615385</v>
      </c>
      <c r="AF105" s="318">
        <v>2500</v>
      </c>
      <c r="AG105" s="319"/>
      <c r="AH105" s="320">
        <f t="shared" si="120"/>
        <v>384.61538461538464</v>
      </c>
      <c r="AI105" s="382"/>
      <c r="AJ105" s="323">
        <f t="shared" si="121"/>
        <v>28</v>
      </c>
      <c r="AK105" s="160">
        <f t="shared" si="122"/>
        <v>70000</v>
      </c>
      <c r="AL105" s="330">
        <v>70000</v>
      </c>
      <c r="AM105" s="325">
        <f t="shared" si="123"/>
        <v>0</v>
      </c>
      <c r="AN105" s="326">
        <v>226.21199999999999</v>
      </c>
      <c r="AO105" s="339" t="s">
        <v>187</v>
      </c>
      <c r="AP105" s="327"/>
      <c r="AQ105" s="328"/>
      <c r="AR105" s="329"/>
      <c r="AS105" s="328"/>
      <c r="AT105" s="328"/>
      <c r="AU105" s="328"/>
      <c r="AV105" s="328"/>
      <c r="AW105" s="328"/>
      <c r="AX105" s="328"/>
    </row>
    <row r="106" spans="1:50" s="326" customFormat="1" ht="24.95" customHeight="1">
      <c r="A106" s="311">
        <f t="shared" si="111"/>
        <v>12</v>
      </c>
      <c r="B106" s="312" t="str">
        <f t="shared" si="112"/>
        <v>Подписка, услуги Семис</v>
      </c>
      <c r="C106" s="313" t="str">
        <f t="shared" si="113"/>
        <v>сумма в год</v>
      </c>
      <c r="D106" s="314">
        <f t="shared" ref="D106:D111" si="125">0.5/104*E106</f>
        <v>8.6538461538461536E-2</v>
      </c>
      <c r="E106" s="315">
        <f>E95</f>
        <v>18</v>
      </c>
      <c r="F106" s="316">
        <v>1</v>
      </c>
      <c r="G106" s="317">
        <f t="shared" si="106"/>
        <v>4.807692307692308E-3</v>
      </c>
      <c r="H106" s="318">
        <f t="shared" si="114"/>
        <v>1000</v>
      </c>
      <c r="I106" s="319"/>
      <c r="J106" s="320">
        <f t="shared" si="107"/>
        <v>4.8076923076923084</v>
      </c>
      <c r="K106" s="382"/>
      <c r="L106" s="321"/>
      <c r="M106" s="311">
        <f t="shared" si="115"/>
        <v>12</v>
      </c>
      <c r="N106" s="312" t="str">
        <f t="shared" si="116"/>
        <v>Подписка, услуги Семис</v>
      </c>
      <c r="O106" s="313" t="str">
        <f t="shared" si="117"/>
        <v>сумма в год</v>
      </c>
      <c r="P106" s="314">
        <f t="shared" ref="P106:P111" si="126">0.5/104*Q106</f>
        <v>0.41346153846153849</v>
      </c>
      <c r="Q106" s="315">
        <f t="shared" si="124"/>
        <v>86</v>
      </c>
      <c r="R106" s="316">
        <v>1</v>
      </c>
      <c r="S106" s="317">
        <f t="shared" si="109"/>
        <v>4.807692307692308E-3</v>
      </c>
      <c r="T106" s="318">
        <f t="shared" si="118"/>
        <v>1000</v>
      </c>
      <c r="U106" s="319"/>
      <c r="V106" s="320">
        <f t="shared" si="119"/>
        <v>4.8076923076923084</v>
      </c>
      <c r="W106" s="382"/>
      <c r="X106" s="322"/>
      <c r="Y106" s="311">
        <v>12</v>
      </c>
      <c r="Z106" s="312" t="s">
        <v>139</v>
      </c>
      <c r="AA106" s="313" t="s">
        <v>47</v>
      </c>
      <c r="AB106" s="314">
        <v>0.5</v>
      </c>
      <c r="AC106" s="315">
        <f>AC95</f>
        <v>104</v>
      </c>
      <c r="AD106" s="316">
        <v>1</v>
      </c>
      <c r="AE106" s="317">
        <f t="shared" si="110"/>
        <v>4.807692307692308E-3</v>
      </c>
      <c r="AF106" s="318">
        <v>1000</v>
      </c>
      <c r="AG106" s="319"/>
      <c r="AH106" s="320">
        <f t="shared" si="120"/>
        <v>4.8076923076923084</v>
      </c>
      <c r="AI106" s="382"/>
      <c r="AJ106" s="323">
        <f t="shared" si="121"/>
        <v>1</v>
      </c>
      <c r="AK106" s="160">
        <f t="shared" si="122"/>
        <v>1000.0000000000001</v>
      </c>
      <c r="AL106" s="330">
        <v>1000</v>
      </c>
      <c r="AM106" s="325">
        <f t="shared" si="123"/>
        <v>0</v>
      </c>
      <c r="AN106" s="326">
        <v>226</v>
      </c>
      <c r="AO106" s="339"/>
      <c r="AP106" s="327"/>
      <c r="AQ106" s="328"/>
      <c r="AR106" s="329"/>
      <c r="AS106" s="328"/>
      <c r="AT106" s="328"/>
      <c r="AU106" s="328"/>
      <c r="AV106" s="328"/>
      <c r="AW106" s="328"/>
      <c r="AX106" s="328"/>
    </row>
    <row r="107" spans="1:50" s="326" customFormat="1" ht="45">
      <c r="A107" s="311">
        <f t="shared" si="111"/>
        <v>13</v>
      </c>
      <c r="B107" s="312" t="str">
        <f t="shared" si="112"/>
        <v>Проведение испытаний устройств заземления и изоляции электросетей</v>
      </c>
      <c r="C107" s="313" t="str">
        <f t="shared" si="113"/>
        <v>сумма в год</v>
      </c>
      <c r="D107" s="314">
        <f t="shared" si="125"/>
        <v>8.6538461538461536E-2</v>
      </c>
      <c r="E107" s="315">
        <f>E95</f>
        <v>18</v>
      </c>
      <c r="F107" s="316">
        <v>1</v>
      </c>
      <c r="G107" s="317">
        <f t="shared" si="106"/>
        <v>4.807692307692308E-3</v>
      </c>
      <c r="H107" s="318">
        <f t="shared" si="114"/>
        <v>0</v>
      </c>
      <c r="I107" s="319"/>
      <c r="J107" s="320">
        <f t="shared" si="107"/>
        <v>0</v>
      </c>
      <c r="K107" s="382"/>
      <c r="L107" s="321"/>
      <c r="M107" s="311">
        <f t="shared" si="115"/>
        <v>13</v>
      </c>
      <c r="N107" s="312" t="str">
        <f t="shared" si="116"/>
        <v>Проведение испытаний устройств заземления и изоляции электросетей</v>
      </c>
      <c r="O107" s="313" t="str">
        <f t="shared" si="117"/>
        <v>сумма в год</v>
      </c>
      <c r="P107" s="314">
        <f t="shared" si="126"/>
        <v>0.41346153846153849</v>
      </c>
      <c r="Q107" s="315">
        <f t="shared" si="124"/>
        <v>86</v>
      </c>
      <c r="R107" s="316">
        <v>1</v>
      </c>
      <c r="S107" s="317">
        <f t="shared" si="109"/>
        <v>4.807692307692308E-3</v>
      </c>
      <c r="T107" s="318">
        <f t="shared" si="118"/>
        <v>0</v>
      </c>
      <c r="U107" s="319"/>
      <c r="V107" s="320">
        <f t="shared" si="119"/>
        <v>0</v>
      </c>
      <c r="W107" s="382"/>
      <c r="X107" s="322"/>
      <c r="Y107" s="311">
        <v>13</v>
      </c>
      <c r="Z107" s="312" t="s">
        <v>140</v>
      </c>
      <c r="AA107" s="313" t="s">
        <v>47</v>
      </c>
      <c r="AB107" s="314">
        <v>0.5</v>
      </c>
      <c r="AC107" s="315">
        <f>AC95</f>
        <v>104</v>
      </c>
      <c r="AD107" s="316">
        <v>1</v>
      </c>
      <c r="AE107" s="317">
        <f t="shared" si="110"/>
        <v>4.807692307692308E-3</v>
      </c>
      <c r="AF107" s="318">
        <v>0</v>
      </c>
      <c r="AG107" s="319"/>
      <c r="AH107" s="320">
        <f t="shared" si="120"/>
        <v>0</v>
      </c>
      <c r="AI107" s="382"/>
      <c r="AJ107" s="323">
        <f t="shared" si="121"/>
        <v>1</v>
      </c>
      <c r="AK107" s="160">
        <f t="shared" si="122"/>
        <v>0</v>
      </c>
      <c r="AL107" s="330">
        <v>0</v>
      </c>
      <c r="AM107" s="325">
        <f t="shared" si="123"/>
        <v>0</v>
      </c>
      <c r="AN107" s="326">
        <v>226</v>
      </c>
      <c r="AP107" s="327"/>
      <c r="AQ107" s="328"/>
      <c r="AR107" s="329"/>
      <c r="AS107" s="328"/>
      <c r="AT107" s="328"/>
      <c r="AU107" s="328"/>
      <c r="AV107" s="328"/>
      <c r="AW107" s="328"/>
      <c r="AX107" s="328"/>
    </row>
    <row r="108" spans="1:50" s="326" customFormat="1" ht="45">
      <c r="A108" s="311">
        <f t="shared" si="111"/>
        <v>14</v>
      </c>
      <c r="B108" s="312" t="str">
        <f t="shared" si="112"/>
        <v>Экспертиза огнезащитной обработки строительных конструкций</v>
      </c>
      <c r="C108" s="313" t="str">
        <f t="shared" si="113"/>
        <v>сумма в год</v>
      </c>
      <c r="D108" s="314">
        <f t="shared" si="125"/>
        <v>8.6538461538461536E-2</v>
      </c>
      <c r="E108" s="315">
        <f>E95</f>
        <v>18</v>
      </c>
      <c r="F108" s="316">
        <v>1</v>
      </c>
      <c r="G108" s="317">
        <f t="shared" si="106"/>
        <v>4.807692307692308E-3</v>
      </c>
      <c r="H108" s="318">
        <f t="shared" si="114"/>
        <v>6000</v>
      </c>
      <c r="I108" s="319"/>
      <c r="J108" s="320">
        <f t="shared" si="107"/>
        <v>28.846153846153847</v>
      </c>
      <c r="K108" s="382"/>
      <c r="L108" s="321"/>
      <c r="M108" s="311">
        <f t="shared" si="115"/>
        <v>14</v>
      </c>
      <c r="N108" s="312" t="str">
        <f t="shared" si="116"/>
        <v>Экспертиза огнезащитной обработки строительных конструкций</v>
      </c>
      <c r="O108" s="313" t="str">
        <f t="shared" si="117"/>
        <v>сумма в год</v>
      </c>
      <c r="P108" s="314">
        <f t="shared" si="126"/>
        <v>0.41346153846153849</v>
      </c>
      <c r="Q108" s="315">
        <f t="shared" si="124"/>
        <v>86</v>
      </c>
      <c r="R108" s="316">
        <v>1</v>
      </c>
      <c r="S108" s="317">
        <f t="shared" si="109"/>
        <v>4.807692307692308E-3</v>
      </c>
      <c r="T108" s="318">
        <f t="shared" si="118"/>
        <v>6000</v>
      </c>
      <c r="U108" s="319"/>
      <c r="V108" s="320">
        <f t="shared" si="119"/>
        <v>28.846153846153847</v>
      </c>
      <c r="W108" s="382"/>
      <c r="X108" s="322"/>
      <c r="Y108" s="311">
        <v>14</v>
      </c>
      <c r="Z108" s="312" t="s">
        <v>185</v>
      </c>
      <c r="AA108" s="313" t="s">
        <v>47</v>
      </c>
      <c r="AB108" s="314">
        <v>0.5</v>
      </c>
      <c r="AC108" s="315">
        <f>AC95</f>
        <v>104</v>
      </c>
      <c r="AD108" s="316">
        <v>1</v>
      </c>
      <c r="AE108" s="317">
        <f t="shared" si="110"/>
        <v>4.807692307692308E-3</v>
      </c>
      <c r="AF108" s="318">
        <v>6000</v>
      </c>
      <c r="AG108" s="319"/>
      <c r="AH108" s="320">
        <f t="shared" si="120"/>
        <v>28.846153846153847</v>
      </c>
      <c r="AI108" s="382"/>
      <c r="AJ108" s="323">
        <f t="shared" si="121"/>
        <v>1</v>
      </c>
      <c r="AK108" s="160">
        <f t="shared" si="122"/>
        <v>6000</v>
      </c>
      <c r="AL108" s="330">
        <v>6000</v>
      </c>
      <c r="AM108" s="325">
        <f t="shared" si="123"/>
        <v>0</v>
      </c>
      <c r="AN108" s="326">
        <v>226</v>
      </c>
      <c r="AP108" s="327"/>
      <c r="AQ108" s="328"/>
      <c r="AR108" s="329"/>
      <c r="AS108" s="328"/>
      <c r="AT108" s="328"/>
      <c r="AU108" s="328"/>
      <c r="AV108" s="328"/>
      <c r="AW108" s="328"/>
      <c r="AX108" s="328"/>
    </row>
    <row r="109" spans="1:50" s="326" customFormat="1" ht="30">
      <c r="A109" s="311">
        <f t="shared" si="111"/>
        <v>15</v>
      </c>
      <c r="B109" s="312" t="str">
        <f t="shared" si="112"/>
        <v>Обслуживание системы наружного видеонаблюдения</v>
      </c>
      <c r="C109" s="313" t="str">
        <f t="shared" si="113"/>
        <v>сумма в год</v>
      </c>
      <c r="D109" s="314">
        <f t="shared" si="125"/>
        <v>8.6538461538461536E-2</v>
      </c>
      <c r="E109" s="315">
        <f>E95</f>
        <v>18</v>
      </c>
      <c r="F109" s="316">
        <v>1</v>
      </c>
      <c r="G109" s="317">
        <f t="shared" si="106"/>
        <v>4.807692307692308E-3</v>
      </c>
      <c r="H109" s="318">
        <f t="shared" si="114"/>
        <v>14114.58</v>
      </c>
      <c r="I109" s="319"/>
      <c r="J109" s="320">
        <f t="shared" si="107"/>
        <v>67.858557692307699</v>
      </c>
      <c r="K109" s="382"/>
      <c r="L109" s="321"/>
      <c r="M109" s="311">
        <f t="shared" si="115"/>
        <v>15</v>
      </c>
      <c r="N109" s="312" t="str">
        <f t="shared" si="116"/>
        <v>Обслуживание системы наружного видеонаблюдения</v>
      </c>
      <c r="O109" s="313" t="str">
        <f t="shared" si="117"/>
        <v>сумма в год</v>
      </c>
      <c r="P109" s="314">
        <f t="shared" si="126"/>
        <v>0.41346153846153849</v>
      </c>
      <c r="Q109" s="315">
        <f t="shared" si="124"/>
        <v>86</v>
      </c>
      <c r="R109" s="316">
        <v>1</v>
      </c>
      <c r="S109" s="317">
        <f t="shared" si="109"/>
        <v>4.807692307692308E-3</v>
      </c>
      <c r="T109" s="318">
        <f t="shared" si="118"/>
        <v>14114.58</v>
      </c>
      <c r="U109" s="319"/>
      <c r="V109" s="320">
        <f t="shared" si="119"/>
        <v>67.858557692307699</v>
      </c>
      <c r="W109" s="382"/>
      <c r="X109" s="322"/>
      <c r="Y109" s="311">
        <v>15</v>
      </c>
      <c r="Z109" s="312" t="s">
        <v>141</v>
      </c>
      <c r="AA109" s="313" t="s">
        <v>47</v>
      </c>
      <c r="AB109" s="314">
        <v>0.5</v>
      </c>
      <c r="AC109" s="315">
        <f>AC95</f>
        <v>104</v>
      </c>
      <c r="AD109" s="316">
        <v>1</v>
      </c>
      <c r="AE109" s="317">
        <f t="shared" si="110"/>
        <v>4.807692307692308E-3</v>
      </c>
      <c r="AF109" s="318">
        <v>14114.58</v>
      </c>
      <c r="AG109" s="319"/>
      <c r="AH109" s="320">
        <f t="shared" si="120"/>
        <v>67.858557692307699</v>
      </c>
      <c r="AI109" s="382"/>
      <c r="AJ109" s="323">
        <f t="shared" si="121"/>
        <v>1</v>
      </c>
      <c r="AK109" s="160">
        <f t="shared" si="122"/>
        <v>14114.580000000002</v>
      </c>
      <c r="AL109" s="330">
        <v>14114.58</v>
      </c>
      <c r="AM109" s="325">
        <f t="shared" si="123"/>
        <v>0</v>
      </c>
      <c r="AN109" s="326">
        <v>226</v>
      </c>
      <c r="AP109" s="327"/>
      <c r="AQ109" s="328"/>
      <c r="AR109" s="329"/>
      <c r="AS109" s="329"/>
      <c r="AT109" s="328"/>
      <c r="AU109" s="328"/>
      <c r="AV109" s="328"/>
      <c r="AW109" s="328"/>
      <c r="AX109" s="328"/>
    </row>
    <row r="110" spans="1:50" s="326" customFormat="1" ht="24.95" customHeight="1">
      <c r="A110" s="311">
        <f t="shared" si="111"/>
        <v>16</v>
      </c>
      <c r="B110" s="312" t="str">
        <f t="shared" si="112"/>
        <v>Аттестация условий рабочих мест</v>
      </c>
      <c r="C110" s="313" t="str">
        <f t="shared" si="113"/>
        <v>сумма в год</v>
      </c>
      <c r="D110" s="314">
        <f t="shared" si="125"/>
        <v>8.6538461538461536E-2</v>
      </c>
      <c r="E110" s="315">
        <f>E96</f>
        <v>18</v>
      </c>
      <c r="F110" s="316">
        <v>1</v>
      </c>
      <c r="G110" s="317">
        <f t="shared" si="106"/>
        <v>4.807692307692308E-3</v>
      </c>
      <c r="H110" s="318">
        <f t="shared" si="114"/>
        <v>58000</v>
      </c>
      <c r="I110" s="319"/>
      <c r="J110" s="320">
        <f t="shared" si="107"/>
        <v>278.84615384615387</v>
      </c>
      <c r="K110" s="382"/>
      <c r="L110" s="321"/>
      <c r="M110" s="311">
        <f t="shared" si="115"/>
        <v>16</v>
      </c>
      <c r="N110" s="312" t="str">
        <f t="shared" si="116"/>
        <v>Аттестация условий рабочих мест</v>
      </c>
      <c r="O110" s="313" t="str">
        <f t="shared" si="117"/>
        <v>сумма в год</v>
      </c>
      <c r="P110" s="314">
        <f t="shared" si="126"/>
        <v>0.41346153846153849</v>
      </c>
      <c r="Q110" s="315">
        <f t="shared" si="124"/>
        <v>86</v>
      </c>
      <c r="R110" s="316">
        <v>1</v>
      </c>
      <c r="S110" s="317">
        <f t="shared" si="109"/>
        <v>4.807692307692308E-3</v>
      </c>
      <c r="T110" s="318">
        <f t="shared" ref="T110" si="127">AF110</f>
        <v>58000</v>
      </c>
      <c r="U110" s="319"/>
      <c r="V110" s="320">
        <f t="shared" si="119"/>
        <v>278.84615384615387</v>
      </c>
      <c r="W110" s="382"/>
      <c r="X110" s="322"/>
      <c r="Y110" s="311">
        <v>16</v>
      </c>
      <c r="Z110" s="312" t="s">
        <v>161</v>
      </c>
      <c r="AA110" s="313" t="s">
        <v>47</v>
      </c>
      <c r="AB110" s="314">
        <v>0.5</v>
      </c>
      <c r="AC110" s="315">
        <f>AC96</f>
        <v>104</v>
      </c>
      <c r="AD110" s="316">
        <v>1</v>
      </c>
      <c r="AE110" s="317">
        <f t="shared" si="110"/>
        <v>4.807692307692308E-3</v>
      </c>
      <c r="AF110" s="318">
        <v>58000</v>
      </c>
      <c r="AG110" s="319"/>
      <c r="AH110" s="320">
        <f t="shared" si="120"/>
        <v>278.84615384615387</v>
      </c>
      <c r="AI110" s="382"/>
      <c r="AJ110" s="323">
        <f t="shared" ref="AJ110" si="128">AB110+P110+D110</f>
        <v>1</v>
      </c>
      <c r="AK110" s="160">
        <f t="shared" ref="AK110" si="129">AH110*AC110+V110*Q110+J110*E110</f>
        <v>58000</v>
      </c>
      <c r="AL110" s="330">
        <v>58000</v>
      </c>
      <c r="AM110" s="325">
        <f t="shared" si="123"/>
        <v>0</v>
      </c>
      <c r="AN110" s="326">
        <v>226</v>
      </c>
      <c r="AP110" s="327"/>
      <c r="AQ110" s="328"/>
      <c r="AR110" s="329"/>
      <c r="AS110" s="329"/>
      <c r="AT110" s="328"/>
      <c r="AU110" s="328"/>
      <c r="AV110" s="328"/>
      <c r="AW110" s="328"/>
      <c r="AX110" s="328"/>
    </row>
    <row r="111" spans="1:50" s="326" customFormat="1" ht="30">
      <c r="A111" s="311">
        <f t="shared" si="111"/>
        <v>16</v>
      </c>
      <c r="B111" s="312" t="str">
        <f t="shared" si="112"/>
        <v>Командировочные расходы административного персонала</v>
      </c>
      <c r="C111" s="313" t="str">
        <f t="shared" si="113"/>
        <v>сумма в год</v>
      </c>
      <c r="D111" s="314">
        <f t="shared" si="125"/>
        <v>8.6538461538461536E-2</v>
      </c>
      <c r="E111" s="315">
        <f>E95</f>
        <v>18</v>
      </c>
      <c r="F111" s="316">
        <v>1</v>
      </c>
      <c r="G111" s="317">
        <f t="shared" si="106"/>
        <v>4.807692307692308E-3</v>
      </c>
      <c r="H111" s="318">
        <f t="shared" si="114"/>
        <v>115000</v>
      </c>
      <c r="I111" s="319"/>
      <c r="J111" s="320">
        <f t="shared" si="107"/>
        <v>552.88461538461547</v>
      </c>
      <c r="K111" s="382"/>
      <c r="L111" s="321"/>
      <c r="M111" s="311">
        <f t="shared" si="115"/>
        <v>16</v>
      </c>
      <c r="N111" s="312" t="str">
        <f t="shared" si="116"/>
        <v>Командировочные расходы административного персонала</v>
      </c>
      <c r="O111" s="313" t="str">
        <f t="shared" si="117"/>
        <v>сумма в год</v>
      </c>
      <c r="P111" s="314">
        <f t="shared" si="126"/>
        <v>0.41346153846153849</v>
      </c>
      <c r="Q111" s="315">
        <f t="shared" si="124"/>
        <v>86</v>
      </c>
      <c r="R111" s="316">
        <v>1</v>
      </c>
      <c r="S111" s="317">
        <f t="shared" si="109"/>
        <v>4.807692307692308E-3</v>
      </c>
      <c r="T111" s="318">
        <f t="shared" si="118"/>
        <v>115000</v>
      </c>
      <c r="U111" s="319"/>
      <c r="V111" s="320">
        <f t="shared" si="119"/>
        <v>552.88461538461547</v>
      </c>
      <c r="W111" s="382"/>
      <c r="X111" s="322"/>
      <c r="Y111" s="311">
        <v>16</v>
      </c>
      <c r="Z111" s="312" t="s">
        <v>138</v>
      </c>
      <c r="AA111" s="313" t="s">
        <v>47</v>
      </c>
      <c r="AB111" s="314">
        <v>0.5</v>
      </c>
      <c r="AC111" s="315">
        <f>AC95</f>
        <v>104</v>
      </c>
      <c r="AD111" s="316">
        <v>1</v>
      </c>
      <c r="AE111" s="317">
        <f t="shared" si="110"/>
        <v>4.807692307692308E-3</v>
      </c>
      <c r="AF111" s="318">
        <v>115000</v>
      </c>
      <c r="AG111" s="319"/>
      <c r="AH111" s="320">
        <f t="shared" si="120"/>
        <v>552.88461538461547</v>
      </c>
      <c r="AI111" s="382"/>
      <c r="AJ111" s="323">
        <f t="shared" si="121"/>
        <v>1</v>
      </c>
      <c r="AK111" s="160">
        <f t="shared" si="122"/>
        <v>115000.00000000001</v>
      </c>
      <c r="AL111" s="338">
        <f>AE144+AE151</f>
        <v>115000</v>
      </c>
      <c r="AM111" s="325">
        <f t="shared" si="123"/>
        <v>0</v>
      </c>
      <c r="AN111" s="340" t="s">
        <v>210</v>
      </c>
      <c r="AP111" s="327"/>
      <c r="AQ111" s="328"/>
      <c r="AR111" s="329"/>
      <c r="AS111" s="328"/>
      <c r="AT111" s="328"/>
      <c r="AU111" s="328"/>
      <c r="AV111" s="328"/>
      <c r="AW111" s="328"/>
      <c r="AX111" s="328"/>
    </row>
    <row r="112" spans="1:50" s="326" customFormat="1" ht="24.95" customHeight="1">
      <c r="A112" s="311">
        <f t="shared" si="111"/>
        <v>17</v>
      </c>
      <c r="B112" s="312" t="str">
        <f t="shared" si="112"/>
        <v>Спецодежда (мягкий инвентарь)</v>
      </c>
      <c r="C112" s="313" t="str">
        <f t="shared" si="113"/>
        <v>сумма в год</v>
      </c>
      <c r="D112" s="314">
        <f>8/104*E112</f>
        <v>1.3846153846153846</v>
      </c>
      <c r="E112" s="315">
        <f>E95</f>
        <v>18</v>
      </c>
      <c r="F112" s="316">
        <v>1</v>
      </c>
      <c r="G112" s="317">
        <f t="shared" si="106"/>
        <v>7.6923076923076927E-2</v>
      </c>
      <c r="H112" s="318">
        <f t="shared" si="114"/>
        <v>2315</v>
      </c>
      <c r="I112" s="319"/>
      <c r="J112" s="320">
        <f t="shared" si="107"/>
        <v>178.07692307692309</v>
      </c>
      <c r="K112" s="382"/>
      <c r="L112" s="321"/>
      <c r="M112" s="311">
        <f t="shared" si="115"/>
        <v>17</v>
      </c>
      <c r="N112" s="312" t="str">
        <f t="shared" si="116"/>
        <v>Спецодежда (мягкий инвентарь)</v>
      </c>
      <c r="O112" s="313" t="str">
        <f t="shared" si="117"/>
        <v>сумма в год</v>
      </c>
      <c r="P112" s="314">
        <f>8/104*Q112</f>
        <v>6.6153846153846159</v>
      </c>
      <c r="Q112" s="315">
        <f t="shared" si="124"/>
        <v>86</v>
      </c>
      <c r="R112" s="316">
        <v>1</v>
      </c>
      <c r="S112" s="317">
        <f t="shared" si="109"/>
        <v>7.6923076923076927E-2</v>
      </c>
      <c r="T112" s="318">
        <f t="shared" si="118"/>
        <v>2315</v>
      </c>
      <c r="U112" s="319"/>
      <c r="V112" s="320">
        <f t="shared" si="119"/>
        <v>178.07692307692309</v>
      </c>
      <c r="W112" s="382"/>
      <c r="X112" s="322"/>
      <c r="Y112" s="311">
        <v>17</v>
      </c>
      <c r="Z112" s="312" t="s">
        <v>143</v>
      </c>
      <c r="AA112" s="313" t="s">
        <v>47</v>
      </c>
      <c r="AB112" s="314">
        <v>12</v>
      </c>
      <c r="AC112" s="315">
        <f>AC95</f>
        <v>104</v>
      </c>
      <c r="AD112" s="316">
        <v>1</v>
      </c>
      <c r="AE112" s="317">
        <f t="shared" si="110"/>
        <v>0.11538461538461539</v>
      </c>
      <c r="AF112" s="318">
        <v>2315</v>
      </c>
      <c r="AG112" s="319"/>
      <c r="AH112" s="320">
        <f t="shared" si="120"/>
        <v>267.11538461538464</v>
      </c>
      <c r="AI112" s="382"/>
      <c r="AJ112" s="323">
        <f t="shared" si="121"/>
        <v>20</v>
      </c>
      <c r="AK112" s="160">
        <f t="shared" si="122"/>
        <v>46300.000000000007</v>
      </c>
      <c r="AL112" s="324">
        <v>46300</v>
      </c>
      <c r="AM112" s="325">
        <f t="shared" si="123"/>
        <v>0</v>
      </c>
      <c r="AN112" s="326">
        <v>340</v>
      </c>
      <c r="AP112" s="327"/>
      <c r="AQ112" s="328"/>
      <c r="AR112" s="329"/>
      <c r="AS112" s="328"/>
      <c r="AT112" s="328"/>
      <c r="AU112" s="328"/>
      <c r="AV112" s="328"/>
      <c r="AW112" s="328"/>
      <c r="AX112" s="328"/>
    </row>
    <row r="113" spans="1:50" s="326" customFormat="1" ht="30">
      <c r="A113" s="311">
        <f t="shared" si="111"/>
        <v>18</v>
      </c>
      <c r="B113" s="312" t="str">
        <f t="shared" si="112"/>
        <v>Хоз.товары (дезинфицирующие, моющие средства)</v>
      </c>
      <c r="C113" s="313" t="str">
        <f t="shared" si="113"/>
        <v>сумма в год</v>
      </c>
      <c r="D113" s="314">
        <f>0.5/104*E113</f>
        <v>8.6538461538461536E-2</v>
      </c>
      <c r="E113" s="315">
        <f>E95</f>
        <v>18</v>
      </c>
      <c r="F113" s="316">
        <v>1</v>
      </c>
      <c r="G113" s="317">
        <f t="shared" si="106"/>
        <v>4.807692307692308E-3</v>
      </c>
      <c r="H113" s="318">
        <f t="shared" si="114"/>
        <v>114051</v>
      </c>
      <c r="I113" s="319"/>
      <c r="J113" s="320">
        <f t="shared" si="107"/>
        <v>548.32211538461536</v>
      </c>
      <c r="K113" s="382"/>
      <c r="L113" s="321"/>
      <c r="M113" s="311">
        <f t="shared" si="115"/>
        <v>18</v>
      </c>
      <c r="N113" s="312" t="str">
        <f t="shared" si="116"/>
        <v>Хоз.товары (дезинфицирующие, моющие средства)</v>
      </c>
      <c r="O113" s="313" t="str">
        <f t="shared" si="117"/>
        <v>сумма в год</v>
      </c>
      <c r="P113" s="314">
        <f>0.5/104*Q113</f>
        <v>0.41346153846153849</v>
      </c>
      <c r="Q113" s="315">
        <f t="shared" si="124"/>
        <v>86</v>
      </c>
      <c r="R113" s="316">
        <v>1</v>
      </c>
      <c r="S113" s="317">
        <f t="shared" si="109"/>
        <v>4.807692307692308E-3</v>
      </c>
      <c r="T113" s="318">
        <f t="shared" si="118"/>
        <v>114051</v>
      </c>
      <c r="U113" s="319"/>
      <c r="V113" s="320">
        <f t="shared" si="119"/>
        <v>548.32211538461536</v>
      </c>
      <c r="W113" s="382"/>
      <c r="X113" s="322"/>
      <c r="Y113" s="311">
        <v>18</v>
      </c>
      <c r="Z113" s="312" t="s">
        <v>99</v>
      </c>
      <c r="AA113" s="313" t="s">
        <v>47</v>
      </c>
      <c r="AB113" s="314">
        <v>0.5</v>
      </c>
      <c r="AC113" s="315">
        <f>AC95</f>
        <v>104</v>
      </c>
      <c r="AD113" s="316">
        <v>1</v>
      </c>
      <c r="AE113" s="317">
        <f t="shared" si="110"/>
        <v>4.807692307692308E-3</v>
      </c>
      <c r="AF113" s="318">
        <v>114051</v>
      </c>
      <c r="AG113" s="319"/>
      <c r="AH113" s="320">
        <f t="shared" si="120"/>
        <v>548.32211538461536</v>
      </c>
      <c r="AI113" s="382"/>
      <c r="AJ113" s="323">
        <f t="shared" si="121"/>
        <v>1</v>
      </c>
      <c r="AK113" s="160">
        <f t="shared" si="122"/>
        <v>114051</v>
      </c>
      <c r="AL113" s="324">
        <v>114051</v>
      </c>
      <c r="AM113" s="325">
        <f t="shared" si="123"/>
        <v>0</v>
      </c>
      <c r="AN113" s="326">
        <v>340</v>
      </c>
      <c r="AP113" s="327"/>
      <c r="AQ113" s="328"/>
      <c r="AR113" s="329"/>
      <c r="AS113" s="328"/>
      <c r="AT113" s="328"/>
      <c r="AU113" s="328"/>
      <c r="AV113" s="328"/>
      <c r="AW113" s="328"/>
      <c r="AX113" s="328"/>
    </row>
    <row r="114" spans="1:50" s="326" customFormat="1" ht="24.95" customHeight="1">
      <c r="A114" s="311">
        <f t="shared" si="111"/>
        <v>19</v>
      </c>
      <c r="B114" s="312" t="str">
        <f t="shared" si="112"/>
        <v>Канцеллярские товары</v>
      </c>
      <c r="C114" s="313" t="str">
        <f t="shared" si="113"/>
        <v>сумма в год</v>
      </c>
      <c r="D114" s="314">
        <f>1/104*E114</f>
        <v>0.17307692307692307</v>
      </c>
      <c r="E114" s="315">
        <f>E113</f>
        <v>18</v>
      </c>
      <c r="F114" s="316">
        <v>1</v>
      </c>
      <c r="G114" s="317">
        <f t="shared" si="106"/>
        <v>9.6153846153846159E-3</v>
      </c>
      <c r="H114" s="318">
        <f t="shared" si="114"/>
        <v>30940</v>
      </c>
      <c r="I114" s="314"/>
      <c r="J114" s="320">
        <f t="shared" si="107"/>
        <v>297.5</v>
      </c>
      <c r="K114" s="382"/>
      <c r="L114" s="321"/>
      <c r="M114" s="311">
        <f t="shared" si="115"/>
        <v>19</v>
      </c>
      <c r="N114" s="312" t="str">
        <f t="shared" si="116"/>
        <v>Канцеллярские товары</v>
      </c>
      <c r="O114" s="313" t="str">
        <f t="shared" si="117"/>
        <v>сумма в год</v>
      </c>
      <c r="P114" s="314">
        <f>1/104*Q114</f>
        <v>0.82692307692307698</v>
      </c>
      <c r="Q114" s="315">
        <f t="shared" si="124"/>
        <v>86</v>
      </c>
      <c r="R114" s="316">
        <v>1</v>
      </c>
      <c r="S114" s="317">
        <f t="shared" si="109"/>
        <v>9.6153846153846159E-3</v>
      </c>
      <c r="T114" s="318">
        <f t="shared" si="118"/>
        <v>30940</v>
      </c>
      <c r="U114" s="314"/>
      <c r="V114" s="320">
        <f t="shared" si="119"/>
        <v>297.5</v>
      </c>
      <c r="W114" s="382"/>
      <c r="X114" s="322"/>
      <c r="Y114" s="311">
        <v>19</v>
      </c>
      <c r="Z114" s="312" t="s">
        <v>219</v>
      </c>
      <c r="AA114" s="313" t="s">
        <v>47</v>
      </c>
      <c r="AB114" s="314"/>
      <c r="AC114" s="315">
        <f>AC95</f>
        <v>104</v>
      </c>
      <c r="AD114" s="316">
        <v>1</v>
      </c>
      <c r="AE114" s="317">
        <f t="shared" si="110"/>
        <v>0</v>
      </c>
      <c r="AF114" s="318">
        <v>30940</v>
      </c>
      <c r="AG114" s="319"/>
      <c r="AH114" s="320">
        <f t="shared" si="120"/>
        <v>0</v>
      </c>
      <c r="AI114" s="382"/>
      <c r="AJ114" s="323">
        <f t="shared" si="121"/>
        <v>1</v>
      </c>
      <c r="AK114" s="160">
        <f t="shared" si="122"/>
        <v>30940</v>
      </c>
      <c r="AL114" s="324">
        <v>30940</v>
      </c>
      <c r="AM114" s="325">
        <f t="shared" si="123"/>
        <v>0</v>
      </c>
      <c r="AN114" s="326">
        <v>340</v>
      </c>
      <c r="AP114" s="327"/>
      <c r="AQ114" s="328"/>
      <c r="AR114" s="329"/>
      <c r="AS114" s="328"/>
      <c r="AT114" s="328"/>
      <c r="AU114" s="328"/>
      <c r="AV114" s="328"/>
      <c r="AW114" s="328"/>
      <c r="AX114" s="328"/>
    </row>
    <row r="115" spans="1:50" s="326" customFormat="1" ht="24.95" customHeight="1">
      <c r="A115" s="311">
        <f t="shared" si="111"/>
        <v>20</v>
      </c>
      <c r="B115" s="312" t="str">
        <f t="shared" si="112"/>
        <v>Столовая посуда</v>
      </c>
      <c r="C115" s="313" t="str">
        <f t="shared" si="113"/>
        <v>сумма в год</v>
      </c>
      <c r="D115" s="314">
        <f>0.5/104*E115</f>
        <v>8.6538461538461536E-2</v>
      </c>
      <c r="E115" s="315">
        <f t="shared" ref="E115:E130" si="130">E114</f>
        <v>18</v>
      </c>
      <c r="F115" s="316">
        <v>1</v>
      </c>
      <c r="G115" s="317">
        <f t="shared" si="106"/>
        <v>4.807692307692308E-3</v>
      </c>
      <c r="H115" s="318">
        <f t="shared" si="114"/>
        <v>16749</v>
      </c>
      <c r="I115" s="314"/>
      <c r="J115" s="320">
        <f t="shared" si="107"/>
        <v>80.524038461538467</v>
      </c>
      <c r="K115" s="382"/>
      <c r="L115" s="321"/>
      <c r="M115" s="311">
        <f t="shared" si="115"/>
        <v>20</v>
      </c>
      <c r="N115" s="312" t="str">
        <f t="shared" si="116"/>
        <v>Столовая посуда</v>
      </c>
      <c r="O115" s="313" t="str">
        <f t="shared" si="117"/>
        <v>сумма в год</v>
      </c>
      <c r="P115" s="314">
        <f>0.5/104*Q115</f>
        <v>0.41346153846153849</v>
      </c>
      <c r="Q115" s="315">
        <f t="shared" si="124"/>
        <v>86</v>
      </c>
      <c r="R115" s="316">
        <v>1</v>
      </c>
      <c r="S115" s="317">
        <f t="shared" si="109"/>
        <v>4.807692307692308E-3</v>
      </c>
      <c r="T115" s="318">
        <f t="shared" si="118"/>
        <v>16749</v>
      </c>
      <c r="U115" s="314"/>
      <c r="V115" s="320">
        <f t="shared" si="119"/>
        <v>80.524038461538467</v>
      </c>
      <c r="W115" s="382"/>
      <c r="X115" s="322"/>
      <c r="Y115" s="311">
        <v>20</v>
      </c>
      <c r="Z115" s="312" t="s">
        <v>174</v>
      </c>
      <c r="AA115" s="313" t="s">
        <v>47</v>
      </c>
      <c r="AB115" s="314">
        <v>0.5</v>
      </c>
      <c r="AC115" s="315">
        <f>AC95</f>
        <v>104</v>
      </c>
      <c r="AD115" s="316">
        <v>1</v>
      </c>
      <c r="AE115" s="317">
        <f t="shared" si="110"/>
        <v>4.807692307692308E-3</v>
      </c>
      <c r="AF115" s="318">
        <v>16749</v>
      </c>
      <c r="AG115" s="319"/>
      <c r="AH115" s="320">
        <f t="shared" si="120"/>
        <v>80.524038461538467</v>
      </c>
      <c r="AI115" s="382"/>
      <c r="AJ115" s="323">
        <f t="shared" si="121"/>
        <v>1</v>
      </c>
      <c r="AK115" s="160">
        <f t="shared" si="122"/>
        <v>16749</v>
      </c>
      <c r="AL115" s="324">
        <v>16749</v>
      </c>
      <c r="AM115" s="325">
        <f t="shared" si="123"/>
        <v>0</v>
      </c>
      <c r="AN115" s="326">
        <v>340</v>
      </c>
      <c r="AP115" s="327"/>
      <c r="AQ115" s="328"/>
      <c r="AR115" s="329"/>
      <c r="AS115" s="328"/>
      <c r="AT115" s="328"/>
      <c r="AU115" s="328"/>
      <c r="AV115" s="328"/>
      <c r="AW115" s="328"/>
      <c r="AX115" s="328"/>
    </row>
    <row r="116" spans="1:50" s="326" customFormat="1" ht="24.95" customHeight="1">
      <c r="A116" s="311">
        <f t="shared" si="111"/>
        <v>21</v>
      </c>
      <c r="B116" s="312" t="str">
        <f t="shared" si="112"/>
        <v>Строительные материалы</v>
      </c>
      <c r="C116" s="313" t="str">
        <f t="shared" si="113"/>
        <v>сумма в год</v>
      </c>
      <c r="D116" s="314">
        <f>0.5/104*E116</f>
        <v>8.6538461538461536E-2</v>
      </c>
      <c r="E116" s="315">
        <f t="shared" si="130"/>
        <v>18</v>
      </c>
      <c r="F116" s="316">
        <v>1</v>
      </c>
      <c r="G116" s="317">
        <f t="shared" si="106"/>
        <v>4.807692307692308E-3</v>
      </c>
      <c r="H116" s="318">
        <f t="shared" si="114"/>
        <v>127575</v>
      </c>
      <c r="I116" s="314"/>
      <c r="J116" s="320">
        <f t="shared" si="107"/>
        <v>613.34134615384619</v>
      </c>
      <c r="K116" s="382"/>
      <c r="L116" s="321"/>
      <c r="M116" s="311">
        <f t="shared" si="115"/>
        <v>21</v>
      </c>
      <c r="N116" s="312" t="str">
        <f t="shared" si="116"/>
        <v>Строительные материалы</v>
      </c>
      <c r="O116" s="313" t="str">
        <f t="shared" si="117"/>
        <v>сумма в год</v>
      </c>
      <c r="P116" s="314">
        <f>0.5/104*Q116</f>
        <v>0.41346153846153849</v>
      </c>
      <c r="Q116" s="315">
        <f t="shared" si="124"/>
        <v>86</v>
      </c>
      <c r="R116" s="316">
        <v>1</v>
      </c>
      <c r="S116" s="317">
        <f t="shared" si="109"/>
        <v>4.807692307692308E-3</v>
      </c>
      <c r="T116" s="318">
        <f t="shared" si="118"/>
        <v>127575</v>
      </c>
      <c r="U116" s="314"/>
      <c r="V116" s="320">
        <f t="shared" si="119"/>
        <v>613.34134615384619</v>
      </c>
      <c r="W116" s="382"/>
      <c r="X116" s="322"/>
      <c r="Y116" s="311">
        <v>21</v>
      </c>
      <c r="Z116" s="312" t="s">
        <v>221</v>
      </c>
      <c r="AA116" s="313" t="s">
        <v>47</v>
      </c>
      <c r="AB116" s="314">
        <v>0.5</v>
      </c>
      <c r="AC116" s="315">
        <f t="shared" ref="AC116:AC117" si="131">AC96</f>
        <v>104</v>
      </c>
      <c r="AD116" s="316">
        <v>1</v>
      </c>
      <c r="AE116" s="317">
        <f t="shared" si="110"/>
        <v>4.807692307692308E-3</v>
      </c>
      <c r="AF116" s="318">
        <v>127575</v>
      </c>
      <c r="AG116" s="314"/>
      <c r="AH116" s="320">
        <f t="shared" si="120"/>
        <v>613.34134615384619</v>
      </c>
      <c r="AI116" s="382"/>
      <c r="AJ116" s="323">
        <f t="shared" si="121"/>
        <v>1</v>
      </c>
      <c r="AK116" s="160">
        <f t="shared" si="122"/>
        <v>127575.00000000001</v>
      </c>
      <c r="AL116" s="324">
        <v>127575</v>
      </c>
      <c r="AM116" s="325">
        <f t="shared" si="123"/>
        <v>0</v>
      </c>
      <c r="AN116" s="326">
        <v>340</v>
      </c>
      <c r="AP116" s="327"/>
      <c r="AQ116" s="328"/>
      <c r="AR116" s="329"/>
      <c r="AS116" s="328"/>
      <c r="AT116" s="328"/>
      <c r="AU116" s="328"/>
      <c r="AV116" s="328"/>
      <c r="AW116" s="328"/>
      <c r="AX116" s="328"/>
    </row>
    <row r="117" spans="1:50" s="326" customFormat="1" ht="24.95" customHeight="1">
      <c r="A117" s="311">
        <f t="shared" si="111"/>
        <v>22</v>
      </c>
      <c r="B117" s="312" t="str">
        <f t="shared" si="112"/>
        <v>Прочие материальные запасы</v>
      </c>
      <c r="C117" s="313" t="str">
        <f t="shared" si="113"/>
        <v>сумма в год</v>
      </c>
      <c r="D117" s="314">
        <f>0.5/104*E117</f>
        <v>8.6538461538461536E-2</v>
      </c>
      <c r="E117" s="315">
        <f t="shared" si="130"/>
        <v>18</v>
      </c>
      <c r="F117" s="316">
        <v>1</v>
      </c>
      <c r="G117" s="317">
        <f t="shared" si="106"/>
        <v>4.807692307692308E-3</v>
      </c>
      <c r="H117" s="318">
        <f t="shared" si="114"/>
        <v>11000</v>
      </c>
      <c r="I117" s="314"/>
      <c r="J117" s="320">
        <f t="shared" si="107"/>
        <v>52.884615384615387</v>
      </c>
      <c r="K117" s="382"/>
      <c r="L117" s="321"/>
      <c r="M117" s="311">
        <f t="shared" si="115"/>
        <v>22</v>
      </c>
      <c r="N117" s="312" t="str">
        <f t="shared" si="116"/>
        <v>Прочие материальные запасы</v>
      </c>
      <c r="O117" s="313" t="str">
        <f t="shared" si="117"/>
        <v>сумма в год</v>
      </c>
      <c r="P117" s="314">
        <f>0.5/104*Q117</f>
        <v>0.41346153846153849</v>
      </c>
      <c r="Q117" s="315">
        <f t="shared" si="124"/>
        <v>86</v>
      </c>
      <c r="R117" s="316">
        <v>1</v>
      </c>
      <c r="S117" s="317">
        <f t="shared" si="109"/>
        <v>4.807692307692308E-3</v>
      </c>
      <c r="T117" s="318">
        <f t="shared" si="118"/>
        <v>11000</v>
      </c>
      <c r="U117" s="314"/>
      <c r="V117" s="320">
        <f t="shared" si="119"/>
        <v>52.884615384615387</v>
      </c>
      <c r="W117" s="382"/>
      <c r="X117" s="322"/>
      <c r="Y117" s="311">
        <v>22</v>
      </c>
      <c r="Z117" s="312" t="s">
        <v>144</v>
      </c>
      <c r="AA117" s="313" t="s">
        <v>47</v>
      </c>
      <c r="AB117" s="314">
        <v>0.5</v>
      </c>
      <c r="AC117" s="315">
        <f t="shared" si="131"/>
        <v>104</v>
      </c>
      <c r="AD117" s="316">
        <v>1</v>
      </c>
      <c r="AE117" s="317">
        <f t="shared" si="110"/>
        <v>4.807692307692308E-3</v>
      </c>
      <c r="AF117" s="341">
        <v>11000</v>
      </c>
      <c r="AG117" s="314"/>
      <c r="AH117" s="320">
        <f t="shared" si="120"/>
        <v>52.884615384615387</v>
      </c>
      <c r="AI117" s="382"/>
      <c r="AJ117" s="323">
        <f t="shared" si="121"/>
        <v>1</v>
      </c>
      <c r="AK117" s="160">
        <f t="shared" si="122"/>
        <v>10999.999999999998</v>
      </c>
      <c r="AL117" s="324">
        <v>11000</v>
      </c>
      <c r="AM117" s="325">
        <f t="shared" si="123"/>
        <v>0</v>
      </c>
      <c r="AN117" s="326">
        <v>340</v>
      </c>
      <c r="AO117" s="334">
        <f>AP118-AO118</f>
        <v>0</v>
      </c>
      <c r="AP117" s="327"/>
      <c r="AQ117" s="328"/>
      <c r="AR117" s="329"/>
      <c r="AS117" s="328"/>
      <c r="AT117" s="328"/>
      <c r="AU117" s="328"/>
      <c r="AV117" s="328"/>
      <c r="AW117" s="328"/>
      <c r="AX117" s="328"/>
    </row>
    <row r="118" spans="1:50" s="326" customFormat="1" ht="24.95" customHeight="1">
      <c r="A118" s="311">
        <f t="shared" si="111"/>
        <v>23</v>
      </c>
      <c r="B118" s="312" t="str">
        <f t="shared" si="112"/>
        <v>Продукты питания</v>
      </c>
      <c r="C118" s="313" t="str">
        <f t="shared" si="113"/>
        <v>сумма в год</v>
      </c>
      <c r="D118" s="314">
        <f>0.5/104*E118</f>
        <v>8.6538461538461536E-2</v>
      </c>
      <c r="E118" s="315">
        <f t="shared" si="130"/>
        <v>18</v>
      </c>
      <c r="F118" s="316">
        <v>1</v>
      </c>
      <c r="G118" s="317">
        <f t="shared" si="106"/>
        <v>4.807692307692308E-3</v>
      </c>
      <c r="H118" s="318">
        <f t="shared" si="114"/>
        <v>4443601.7699999996</v>
      </c>
      <c r="I118" s="314"/>
      <c r="J118" s="320">
        <f>G118*H118</f>
        <v>21363.470048076921</v>
      </c>
      <c r="K118" s="382"/>
      <c r="L118" s="321"/>
      <c r="M118" s="311">
        <f t="shared" si="115"/>
        <v>23</v>
      </c>
      <c r="N118" s="312" t="str">
        <f t="shared" si="116"/>
        <v>Продукты питания</v>
      </c>
      <c r="O118" s="313" t="str">
        <f t="shared" si="117"/>
        <v>сумма в год</v>
      </c>
      <c r="P118" s="314">
        <f>0.5/104*Q118</f>
        <v>0.41346153846153849</v>
      </c>
      <c r="Q118" s="315">
        <f t="shared" si="124"/>
        <v>86</v>
      </c>
      <c r="R118" s="316">
        <v>1</v>
      </c>
      <c r="S118" s="317">
        <f t="shared" si="109"/>
        <v>4.807692307692308E-3</v>
      </c>
      <c r="T118" s="318">
        <f t="shared" si="118"/>
        <v>4443601.7699999996</v>
      </c>
      <c r="U118" s="314"/>
      <c r="V118" s="320">
        <f t="shared" si="119"/>
        <v>21363.470048076921</v>
      </c>
      <c r="W118" s="382"/>
      <c r="X118" s="322"/>
      <c r="Y118" s="311">
        <v>23</v>
      </c>
      <c r="Z118" s="312" t="s">
        <v>136</v>
      </c>
      <c r="AA118" s="313" t="s">
        <v>47</v>
      </c>
      <c r="AB118" s="314">
        <v>0.5</v>
      </c>
      <c r="AC118" s="315">
        <f t="shared" ref="AC118:AC125" si="132">AC117</f>
        <v>104</v>
      </c>
      <c r="AD118" s="316">
        <v>1</v>
      </c>
      <c r="AE118" s="317">
        <f t="shared" si="110"/>
        <v>4.807692307692308E-3</v>
      </c>
      <c r="AF118" s="341">
        <v>4443601.7699999996</v>
      </c>
      <c r="AG118" s="314"/>
      <c r="AH118" s="320">
        <f t="shared" si="120"/>
        <v>21363.470048076921</v>
      </c>
      <c r="AI118" s="382"/>
      <c r="AJ118" s="323">
        <f t="shared" si="121"/>
        <v>1</v>
      </c>
      <c r="AK118" s="160">
        <f t="shared" si="122"/>
        <v>4443601.7699999996</v>
      </c>
      <c r="AL118" s="324">
        <f>3290482.43+AH138+AG151</f>
        <v>4443601.7700000005</v>
      </c>
      <c r="AM118" s="325">
        <f t="shared" si="123"/>
        <v>0</v>
      </c>
      <c r="AN118" s="331">
        <v>340</v>
      </c>
      <c r="AO118" s="332">
        <f>SUM(AK95:AK96)+SUM(AK112:AK120)</f>
        <v>4802001.7699999996</v>
      </c>
      <c r="AP118" s="333">
        <f>AH138+AH154</f>
        <v>4802001.7700000005</v>
      </c>
      <c r="AQ118" s="328"/>
      <c r="AR118" s="329"/>
      <c r="AS118" s="328"/>
      <c r="AT118" s="328"/>
      <c r="AU118" s="328"/>
      <c r="AV118" s="328"/>
      <c r="AW118" s="328"/>
      <c r="AX118" s="328"/>
    </row>
    <row r="119" spans="1:50" s="326" customFormat="1" ht="0.75" customHeight="1">
      <c r="A119" s="311">
        <f t="shared" si="111"/>
        <v>24</v>
      </c>
      <c r="B119" s="312">
        <f t="shared" si="112"/>
        <v>0</v>
      </c>
      <c r="C119" s="313">
        <f t="shared" si="113"/>
        <v>0</v>
      </c>
      <c r="D119" s="314"/>
      <c r="E119" s="315">
        <f t="shared" si="130"/>
        <v>18</v>
      </c>
      <c r="F119" s="316">
        <v>1</v>
      </c>
      <c r="G119" s="317">
        <f t="shared" si="106"/>
        <v>0</v>
      </c>
      <c r="H119" s="318">
        <f t="shared" si="114"/>
        <v>0</v>
      </c>
      <c r="I119" s="314"/>
      <c r="J119" s="320">
        <f t="shared" si="107"/>
        <v>0</v>
      </c>
      <c r="K119" s="382"/>
      <c r="L119" s="321"/>
      <c r="M119" s="311">
        <f t="shared" si="115"/>
        <v>24</v>
      </c>
      <c r="N119" s="312">
        <f t="shared" si="116"/>
        <v>0</v>
      </c>
      <c r="O119" s="313">
        <f t="shared" si="117"/>
        <v>0</v>
      </c>
      <c r="P119" s="314"/>
      <c r="Q119" s="315">
        <f t="shared" si="124"/>
        <v>86</v>
      </c>
      <c r="R119" s="316">
        <v>1</v>
      </c>
      <c r="S119" s="317">
        <f t="shared" si="109"/>
        <v>0</v>
      </c>
      <c r="T119" s="318">
        <f t="shared" si="118"/>
        <v>0</v>
      </c>
      <c r="U119" s="314"/>
      <c r="V119" s="320">
        <f t="shared" si="119"/>
        <v>0</v>
      </c>
      <c r="W119" s="382"/>
      <c r="X119" s="322"/>
      <c r="Y119" s="311">
        <v>24</v>
      </c>
      <c r="Z119" s="342"/>
      <c r="AA119" s="343"/>
      <c r="AB119" s="314"/>
      <c r="AC119" s="315">
        <f t="shared" si="132"/>
        <v>104</v>
      </c>
      <c r="AD119" s="316">
        <v>1</v>
      </c>
      <c r="AE119" s="317">
        <f t="shared" si="110"/>
        <v>0</v>
      </c>
      <c r="AF119" s="341"/>
      <c r="AG119" s="314"/>
      <c r="AH119" s="320">
        <f t="shared" si="120"/>
        <v>0</v>
      </c>
      <c r="AI119" s="382"/>
      <c r="AJ119" s="323">
        <f t="shared" si="121"/>
        <v>0</v>
      </c>
      <c r="AK119" s="160">
        <f t="shared" si="122"/>
        <v>0</v>
      </c>
      <c r="AL119" s="231"/>
      <c r="AM119" s="325">
        <f t="shared" si="123"/>
        <v>0</v>
      </c>
      <c r="AN119" s="326">
        <v>340</v>
      </c>
      <c r="AP119" s="327"/>
      <c r="AQ119" s="328"/>
      <c r="AR119" s="329"/>
      <c r="AS119" s="328"/>
      <c r="AT119" s="328"/>
      <c r="AU119" s="328"/>
      <c r="AV119" s="328"/>
      <c r="AW119" s="328"/>
      <c r="AX119" s="328"/>
    </row>
    <row r="120" spans="1:50" s="326" customFormat="1" hidden="1">
      <c r="A120" s="311">
        <f t="shared" si="111"/>
        <v>25</v>
      </c>
      <c r="B120" s="312">
        <f t="shared" si="112"/>
        <v>0</v>
      </c>
      <c r="C120" s="313">
        <f t="shared" si="113"/>
        <v>0</v>
      </c>
      <c r="D120" s="314"/>
      <c r="E120" s="315">
        <f t="shared" si="130"/>
        <v>18</v>
      </c>
      <c r="F120" s="316">
        <v>1</v>
      </c>
      <c r="G120" s="317">
        <f t="shared" si="106"/>
        <v>0</v>
      </c>
      <c r="H120" s="318">
        <f t="shared" si="114"/>
        <v>0</v>
      </c>
      <c r="I120" s="314"/>
      <c r="J120" s="320">
        <f t="shared" si="107"/>
        <v>0</v>
      </c>
      <c r="K120" s="382"/>
      <c r="L120" s="321"/>
      <c r="M120" s="311">
        <f t="shared" si="115"/>
        <v>25</v>
      </c>
      <c r="N120" s="312">
        <f t="shared" si="116"/>
        <v>0</v>
      </c>
      <c r="O120" s="313">
        <f t="shared" si="117"/>
        <v>0</v>
      </c>
      <c r="P120" s="314"/>
      <c r="Q120" s="315">
        <f t="shared" si="124"/>
        <v>86</v>
      </c>
      <c r="R120" s="316">
        <v>1</v>
      </c>
      <c r="S120" s="317">
        <f t="shared" si="109"/>
        <v>0</v>
      </c>
      <c r="T120" s="318">
        <f t="shared" si="118"/>
        <v>0</v>
      </c>
      <c r="U120" s="314"/>
      <c r="V120" s="320">
        <f t="shared" si="119"/>
        <v>0</v>
      </c>
      <c r="W120" s="382"/>
      <c r="X120" s="322"/>
      <c r="Y120" s="311">
        <v>25</v>
      </c>
      <c r="Z120" s="312"/>
      <c r="AA120" s="313"/>
      <c r="AB120" s="314"/>
      <c r="AC120" s="315">
        <f t="shared" si="132"/>
        <v>104</v>
      </c>
      <c r="AD120" s="316">
        <v>1</v>
      </c>
      <c r="AE120" s="317">
        <f t="shared" si="110"/>
        <v>0</v>
      </c>
      <c r="AF120" s="318"/>
      <c r="AG120" s="314"/>
      <c r="AH120" s="320">
        <f t="shared" si="120"/>
        <v>0</v>
      </c>
      <c r="AI120" s="382"/>
      <c r="AJ120" s="323">
        <f t="shared" si="121"/>
        <v>0</v>
      </c>
      <c r="AK120" s="160">
        <f t="shared" si="122"/>
        <v>0</v>
      </c>
      <c r="AL120" s="231"/>
      <c r="AM120" s="325">
        <f t="shared" si="123"/>
        <v>0</v>
      </c>
      <c r="AN120" s="326">
        <v>340</v>
      </c>
      <c r="AP120" s="327"/>
      <c r="AQ120" s="328"/>
      <c r="AR120" s="329"/>
      <c r="AS120" s="328"/>
      <c r="AT120" s="328"/>
      <c r="AU120" s="328"/>
      <c r="AV120" s="328"/>
      <c r="AW120" s="328"/>
      <c r="AX120" s="328"/>
    </row>
    <row r="121" spans="1:50" s="326" customFormat="1" hidden="1">
      <c r="A121" s="311">
        <f t="shared" si="111"/>
        <v>26</v>
      </c>
      <c r="B121" s="312">
        <f t="shared" si="112"/>
        <v>0</v>
      </c>
      <c r="C121" s="313">
        <f t="shared" si="113"/>
        <v>0</v>
      </c>
      <c r="D121" s="314"/>
      <c r="E121" s="315">
        <f t="shared" si="130"/>
        <v>18</v>
      </c>
      <c r="F121" s="316">
        <v>1</v>
      </c>
      <c r="G121" s="317">
        <f t="shared" si="106"/>
        <v>0</v>
      </c>
      <c r="H121" s="318">
        <f t="shared" si="114"/>
        <v>0</v>
      </c>
      <c r="I121" s="314"/>
      <c r="J121" s="320">
        <f t="shared" si="107"/>
        <v>0</v>
      </c>
      <c r="K121" s="382"/>
      <c r="L121" s="321"/>
      <c r="M121" s="311">
        <f t="shared" si="115"/>
        <v>26</v>
      </c>
      <c r="N121" s="312">
        <f t="shared" si="116"/>
        <v>0</v>
      </c>
      <c r="O121" s="313">
        <f t="shared" si="117"/>
        <v>0</v>
      </c>
      <c r="P121" s="314"/>
      <c r="Q121" s="315">
        <f t="shared" si="124"/>
        <v>86</v>
      </c>
      <c r="R121" s="316">
        <v>1</v>
      </c>
      <c r="S121" s="317">
        <f t="shared" si="109"/>
        <v>0</v>
      </c>
      <c r="T121" s="318">
        <f t="shared" si="118"/>
        <v>0</v>
      </c>
      <c r="U121" s="314"/>
      <c r="V121" s="320">
        <f t="shared" si="119"/>
        <v>0</v>
      </c>
      <c r="W121" s="382"/>
      <c r="X121" s="322"/>
      <c r="Y121" s="311">
        <v>26</v>
      </c>
      <c r="Z121" s="342"/>
      <c r="AA121" s="313"/>
      <c r="AB121" s="314"/>
      <c r="AC121" s="315">
        <f t="shared" si="132"/>
        <v>104</v>
      </c>
      <c r="AD121" s="316">
        <v>1</v>
      </c>
      <c r="AE121" s="317">
        <f t="shared" si="110"/>
        <v>0</v>
      </c>
      <c r="AF121" s="318"/>
      <c r="AG121" s="319"/>
      <c r="AH121" s="320">
        <f t="shared" si="120"/>
        <v>0</v>
      </c>
      <c r="AI121" s="382"/>
      <c r="AJ121" s="323">
        <f t="shared" si="121"/>
        <v>0</v>
      </c>
      <c r="AK121" s="160">
        <f t="shared" si="122"/>
        <v>0</v>
      </c>
      <c r="AL121" s="344"/>
      <c r="AM121" s="325">
        <f t="shared" si="123"/>
        <v>0</v>
      </c>
      <c r="AN121" s="326">
        <v>310</v>
      </c>
      <c r="AP121" s="327"/>
      <c r="AQ121" s="328"/>
      <c r="AR121" s="329"/>
      <c r="AS121" s="328"/>
      <c r="AT121" s="328"/>
      <c r="AU121" s="328"/>
      <c r="AV121" s="328"/>
      <c r="AW121" s="328"/>
      <c r="AX121" s="328"/>
    </row>
    <row r="122" spans="1:50" s="326" customFormat="1" hidden="1">
      <c r="A122" s="311">
        <f t="shared" si="111"/>
        <v>27</v>
      </c>
      <c r="B122" s="312">
        <f t="shared" si="112"/>
        <v>0</v>
      </c>
      <c r="C122" s="313">
        <f t="shared" si="113"/>
        <v>0</v>
      </c>
      <c r="D122" s="314"/>
      <c r="E122" s="315">
        <f t="shared" si="130"/>
        <v>18</v>
      </c>
      <c r="F122" s="316">
        <v>1</v>
      </c>
      <c r="G122" s="317">
        <f t="shared" si="106"/>
        <v>0</v>
      </c>
      <c r="H122" s="318">
        <f t="shared" si="114"/>
        <v>0</v>
      </c>
      <c r="I122" s="314"/>
      <c r="J122" s="320">
        <f t="shared" si="107"/>
        <v>0</v>
      </c>
      <c r="K122" s="382"/>
      <c r="L122" s="321"/>
      <c r="M122" s="311">
        <f t="shared" si="115"/>
        <v>27</v>
      </c>
      <c r="N122" s="312">
        <f t="shared" si="116"/>
        <v>0</v>
      </c>
      <c r="O122" s="313">
        <f t="shared" si="117"/>
        <v>0</v>
      </c>
      <c r="P122" s="314"/>
      <c r="Q122" s="315">
        <f t="shared" si="124"/>
        <v>86</v>
      </c>
      <c r="R122" s="316">
        <v>1</v>
      </c>
      <c r="S122" s="317">
        <f t="shared" si="109"/>
        <v>0</v>
      </c>
      <c r="T122" s="318">
        <f t="shared" si="118"/>
        <v>0</v>
      </c>
      <c r="U122" s="314"/>
      <c r="V122" s="320">
        <f t="shared" si="119"/>
        <v>0</v>
      </c>
      <c r="W122" s="382"/>
      <c r="X122" s="322"/>
      <c r="Y122" s="311">
        <v>27</v>
      </c>
      <c r="Z122" s="312"/>
      <c r="AA122" s="313"/>
      <c r="AB122" s="314"/>
      <c r="AC122" s="315">
        <f t="shared" si="132"/>
        <v>104</v>
      </c>
      <c r="AD122" s="316">
        <v>1</v>
      </c>
      <c r="AE122" s="317">
        <f t="shared" si="110"/>
        <v>0</v>
      </c>
      <c r="AF122" s="318"/>
      <c r="AG122" s="319"/>
      <c r="AH122" s="320">
        <f t="shared" si="120"/>
        <v>0</v>
      </c>
      <c r="AI122" s="382"/>
      <c r="AJ122" s="323">
        <f t="shared" si="121"/>
        <v>0</v>
      </c>
      <c r="AK122" s="160">
        <f t="shared" si="122"/>
        <v>0</v>
      </c>
      <c r="AL122" s="344"/>
      <c r="AM122" s="325">
        <f t="shared" si="123"/>
        <v>0</v>
      </c>
      <c r="AN122" s="326">
        <v>310</v>
      </c>
      <c r="AP122" s="327"/>
      <c r="AQ122" s="328"/>
      <c r="AR122" s="329"/>
      <c r="AS122" s="328"/>
      <c r="AT122" s="328"/>
      <c r="AU122" s="328"/>
      <c r="AV122" s="328"/>
      <c r="AW122" s="328"/>
      <c r="AX122" s="328"/>
    </row>
    <row r="123" spans="1:50" s="326" customFormat="1" hidden="1">
      <c r="A123" s="311">
        <f t="shared" si="111"/>
        <v>28</v>
      </c>
      <c r="B123" s="312">
        <f t="shared" si="112"/>
        <v>0</v>
      </c>
      <c r="C123" s="313">
        <f t="shared" si="113"/>
        <v>0</v>
      </c>
      <c r="D123" s="314"/>
      <c r="E123" s="315">
        <f t="shared" si="130"/>
        <v>18</v>
      </c>
      <c r="F123" s="316">
        <v>1</v>
      </c>
      <c r="G123" s="317">
        <f t="shared" si="106"/>
        <v>0</v>
      </c>
      <c r="H123" s="318">
        <f t="shared" si="114"/>
        <v>0</v>
      </c>
      <c r="I123" s="314"/>
      <c r="J123" s="320">
        <f t="shared" si="107"/>
        <v>0</v>
      </c>
      <c r="K123" s="382"/>
      <c r="L123" s="321"/>
      <c r="M123" s="311">
        <f t="shared" si="115"/>
        <v>28</v>
      </c>
      <c r="N123" s="312">
        <f t="shared" si="116"/>
        <v>0</v>
      </c>
      <c r="O123" s="313">
        <f t="shared" si="117"/>
        <v>0</v>
      </c>
      <c r="P123" s="314"/>
      <c r="Q123" s="315">
        <f t="shared" si="124"/>
        <v>86</v>
      </c>
      <c r="R123" s="316">
        <v>1</v>
      </c>
      <c r="S123" s="317">
        <f t="shared" si="109"/>
        <v>0</v>
      </c>
      <c r="T123" s="318">
        <f t="shared" si="118"/>
        <v>0</v>
      </c>
      <c r="U123" s="314"/>
      <c r="V123" s="320">
        <f t="shared" si="119"/>
        <v>0</v>
      </c>
      <c r="W123" s="382"/>
      <c r="X123" s="322"/>
      <c r="Y123" s="311">
        <v>28</v>
      </c>
      <c r="Z123" s="312"/>
      <c r="AA123" s="313"/>
      <c r="AB123" s="314"/>
      <c r="AC123" s="315">
        <f t="shared" si="132"/>
        <v>104</v>
      </c>
      <c r="AD123" s="316">
        <v>1</v>
      </c>
      <c r="AE123" s="317">
        <f t="shared" si="110"/>
        <v>0</v>
      </c>
      <c r="AF123" s="318"/>
      <c r="AG123" s="319"/>
      <c r="AH123" s="320">
        <f t="shared" si="120"/>
        <v>0</v>
      </c>
      <c r="AI123" s="382"/>
      <c r="AJ123" s="323">
        <f t="shared" si="121"/>
        <v>0</v>
      </c>
      <c r="AK123" s="160">
        <f t="shared" si="122"/>
        <v>0</v>
      </c>
      <c r="AL123" s="344"/>
      <c r="AM123" s="325">
        <f t="shared" si="123"/>
        <v>0</v>
      </c>
      <c r="AN123" s="326">
        <v>310</v>
      </c>
      <c r="AP123" s="327"/>
      <c r="AQ123" s="328"/>
      <c r="AR123" s="329"/>
      <c r="AS123" s="328"/>
      <c r="AT123" s="328"/>
      <c r="AU123" s="328"/>
      <c r="AV123" s="328"/>
      <c r="AW123" s="328"/>
      <c r="AX123" s="328"/>
    </row>
    <row r="124" spans="1:50" s="326" customFormat="1" hidden="1">
      <c r="A124" s="311">
        <f t="shared" si="111"/>
        <v>29</v>
      </c>
      <c r="B124" s="312">
        <f t="shared" si="112"/>
        <v>0</v>
      </c>
      <c r="C124" s="313">
        <f t="shared" si="113"/>
        <v>0</v>
      </c>
      <c r="D124" s="314"/>
      <c r="E124" s="315">
        <f t="shared" si="130"/>
        <v>18</v>
      </c>
      <c r="F124" s="316">
        <v>1</v>
      </c>
      <c r="G124" s="317">
        <f t="shared" si="106"/>
        <v>0</v>
      </c>
      <c r="H124" s="318">
        <f t="shared" si="114"/>
        <v>0</v>
      </c>
      <c r="I124" s="314"/>
      <c r="J124" s="320">
        <f t="shared" si="107"/>
        <v>0</v>
      </c>
      <c r="K124" s="382"/>
      <c r="L124" s="321"/>
      <c r="M124" s="311">
        <f t="shared" si="115"/>
        <v>29</v>
      </c>
      <c r="N124" s="312">
        <f t="shared" si="116"/>
        <v>0</v>
      </c>
      <c r="O124" s="313">
        <f t="shared" si="117"/>
        <v>0</v>
      </c>
      <c r="P124" s="314"/>
      <c r="Q124" s="315">
        <f t="shared" si="124"/>
        <v>86</v>
      </c>
      <c r="R124" s="316">
        <v>1</v>
      </c>
      <c r="S124" s="317">
        <f t="shared" si="109"/>
        <v>0</v>
      </c>
      <c r="T124" s="318">
        <f t="shared" si="118"/>
        <v>0</v>
      </c>
      <c r="U124" s="314"/>
      <c r="V124" s="320">
        <f t="shared" si="119"/>
        <v>0</v>
      </c>
      <c r="W124" s="382"/>
      <c r="X124" s="322"/>
      <c r="Y124" s="311">
        <v>29</v>
      </c>
      <c r="Z124" s="342"/>
      <c r="AA124" s="343"/>
      <c r="AB124" s="314"/>
      <c r="AC124" s="315">
        <f t="shared" si="132"/>
        <v>104</v>
      </c>
      <c r="AD124" s="316">
        <v>1</v>
      </c>
      <c r="AE124" s="317">
        <f t="shared" si="110"/>
        <v>0</v>
      </c>
      <c r="AF124" s="318"/>
      <c r="AG124" s="314"/>
      <c r="AH124" s="320">
        <f t="shared" si="120"/>
        <v>0</v>
      </c>
      <c r="AI124" s="382"/>
      <c r="AJ124" s="323">
        <f t="shared" si="121"/>
        <v>0</v>
      </c>
      <c r="AK124" s="160">
        <f t="shared" si="122"/>
        <v>0</v>
      </c>
      <c r="AL124" s="344"/>
      <c r="AM124" s="325">
        <f t="shared" si="123"/>
        <v>0</v>
      </c>
      <c r="AN124" s="326">
        <v>310</v>
      </c>
      <c r="AP124" s="327"/>
      <c r="AQ124" s="328"/>
      <c r="AR124" s="329"/>
      <c r="AS124" s="328"/>
      <c r="AT124" s="328"/>
      <c r="AU124" s="328"/>
      <c r="AV124" s="328"/>
      <c r="AW124" s="328"/>
      <c r="AX124" s="328"/>
    </row>
    <row r="125" spans="1:50" s="326" customFormat="1" hidden="1">
      <c r="A125" s="311">
        <f t="shared" ref="A125:A130" si="133">M125</f>
        <v>30</v>
      </c>
      <c r="B125" s="312">
        <f t="shared" ref="B125:B130" si="134">N125</f>
        <v>0</v>
      </c>
      <c r="C125" s="313">
        <f t="shared" ref="C125:C130" si="135">O125</f>
        <v>0</v>
      </c>
      <c r="D125" s="314"/>
      <c r="E125" s="315">
        <f t="shared" si="130"/>
        <v>18</v>
      </c>
      <c r="F125" s="316">
        <v>1</v>
      </c>
      <c r="G125" s="317">
        <f t="shared" si="106"/>
        <v>0</v>
      </c>
      <c r="H125" s="318">
        <f t="shared" si="114"/>
        <v>0</v>
      </c>
      <c r="I125" s="314"/>
      <c r="J125" s="320">
        <f t="shared" si="107"/>
        <v>0</v>
      </c>
      <c r="K125" s="382"/>
      <c r="L125" s="321"/>
      <c r="M125" s="311">
        <f t="shared" si="115"/>
        <v>30</v>
      </c>
      <c r="N125" s="312">
        <f t="shared" si="116"/>
        <v>0</v>
      </c>
      <c r="O125" s="313">
        <f t="shared" si="117"/>
        <v>0</v>
      </c>
      <c r="P125" s="314"/>
      <c r="Q125" s="315">
        <f t="shared" si="124"/>
        <v>86</v>
      </c>
      <c r="R125" s="316">
        <v>1</v>
      </c>
      <c r="S125" s="317">
        <f t="shared" si="109"/>
        <v>0</v>
      </c>
      <c r="T125" s="318">
        <f t="shared" si="118"/>
        <v>0</v>
      </c>
      <c r="U125" s="314"/>
      <c r="V125" s="320">
        <f t="shared" si="119"/>
        <v>0</v>
      </c>
      <c r="W125" s="382"/>
      <c r="X125" s="322"/>
      <c r="Y125" s="311">
        <v>30</v>
      </c>
      <c r="Z125" s="342"/>
      <c r="AA125" s="343"/>
      <c r="AB125" s="314"/>
      <c r="AC125" s="315">
        <f t="shared" si="132"/>
        <v>104</v>
      </c>
      <c r="AD125" s="316">
        <v>1</v>
      </c>
      <c r="AE125" s="317">
        <f t="shared" si="110"/>
        <v>0</v>
      </c>
      <c r="AF125" s="341"/>
      <c r="AG125" s="314"/>
      <c r="AH125" s="320">
        <f t="shared" si="120"/>
        <v>0</v>
      </c>
      <c r="AI125" s="382"/>
      <c r="AJ125" s="323">
        <f t="shared" si="121"/>
        <v>0</v>
      </c>
      <c r="AK125" s="160">
        <f t="shared" si="122"/>
        <v>0</v>
      </c>
      <c r="AL125" s="344"/>
      <c r="AM125" s="325">
        <f t="shared" si="123"/>
        <v>0</v>
      </c>
      <c r="AN125" s="326">
        <v>310</v>
      </c>
      <c r="AP125" s="327"/>
      <c r="AQ125" s="328"/>
      <c r="AR125" s="329"/>
      <c r="AS125" s="328"/>
      <c r="AT125" s="328"/>
      <c r="AU125" s="328"/>
      <c r="AV125" s="328"/>
      <c r="AW125" s="328"/>
      <c r="AX125" s="328"/>
    </row>
    <row r="126" spans="1:50" s="326" customFormat="1" hidden="1">
      <c r="A126" s="311">
        <f t="shared" si="133"/>
        <v>31</v>
      </c>
      <c r="B126" s="312">
        <f t="shared" si="134"/>
        <v>0</v>
      </c>
      <c r="C126" s="313">
        <f t="shared" si="135"/>
        <v>0</v>
      </c>
      <c r="D126" s="314"/>
      <c r="E126" s="315">
        <f t="shared" si="130"/>
        <v>18</v>
      </c>
      <c r="F126" s="316">
        <v>1</v>
      </c>
      <c r="G126" s="317">
        <f t="shared" si="106"/>
        <v>0</v>
      </c>
      <c r="H126" s="318">
        <f t="shared" si="114"/>
        <v>0</v>
      </c>
      <c r="I126" s="319"/>
      <c r="J126" s="320">
        <f t="shared" si="107"/>
        <v>0</v>
      </c>
      <c r="K126" s="382"/>
      <c r="L126" s="321"/>
      <c r="M126" s="311">
        <f t="shared" ref="M126:M130" si="136">Y126</f>
        <v>31</v>
      </c>
      <c r="N126" s="312">
        <f t="shared" ref="N126:N130" si="137">Z126</f>
        <v>0</v>
      </c>
      <c r="O126" s="313">
        <f t="shared" si="117"/>
        <v>0</v>
      </c>
      <c r="P126" s="314"/>
      <c r="Q126" s="315">
        <f t="shared" si="124"/>
        <v>86</v>
      </c>
      <c r="R126" s="316">
        <v>1</v>
      </c>
      <c r="S126" s="317">
        <f t="shared" si="109"/>
        <v>0</v>
      </c>
      <c r="T126" s="318">
        <f t="shared" si="118"/>
        <v>0</v>
      </c>
      <c r="U126" s="319"/>
      <c r="V126" s="320">
        <f t="shared" si="119"/>
        <v>0</v>
      </c>
      <c r="W126" s="382"/>
      <c r="X126" s="322"/>
      <c r="Y126" s="311">
        <v>31</v>
      </c>
      <c r="Z126" s="312"/>
      <c r="AA126" s="313"/>
      <c r="AB126" s="314"/>
      <c r="AC126" s="315">
        <f>AC125</f>
        <v>104</v>
      </c>
      <c r="AD126" s="316">
        <v>1</v>
      </c>
      <c r="AE126" s="317">
        <f t="shared" si="110"/>
        <v>0</v>
      </c>
      <c r="AF126" s="318"/>
      <c r="AG126" s="319"/>
      <c r="AH126" s="320">
        <f t="shared" si="120"/>
        <v>0</v>
      </c>
      <c r="AI126" s="382"/>
      <c r="AJ126" s="323">
        <f t="shared" si="121"/>
        <v>0</v>
      </c>
      <c r="AK126" s="160">
        <f t="shared" si="122"/>
        <v>0</v>
      </c>
      <c r="AL126" s="344"/>
      <c r="AM126" s="325">
        <f t="shared" si="123"/>
        <v>0</v>
      </c>
      <c r="AN126" s="326">
        <v>310</v>
      </c>
      <c r="AP126" s="327"/>
      <c r="AQ126" s="328"/>
      <c r="AR126" s="329"/>
      <c r="AS126" s="328"/>
      <c r="AT126" s="328"/>
      <c r="AU126" s="328"/>
      <c r="AV126" s="328"/>
      <c r="AW126" s="328"/>
      <c r="AX126" s="328"/>
    </row>
    <row r="127" spans="1:50" s="326" customFormat="1" hidden="1">
      <c r="A127" s="311">
        <f t="shared" si="133"/>
        <v>32</v>
      </c>
      <c r="B127" s="312">
        <f t="shared" si="134"/>
        <v>0</v>
      </c>
      <c r="C127" s="313">
        <f t="shared" si="135"/>
        <v>0</v>
      </c>
      <c r="D127" s="314"/>
      <c r="E127" s="315">
        <f t="shared" si="130"/>
        <v>18</v>
      </c>
      <c r="F127" s="316">
        <v>1</v>
      </c>
      <c r="G127" s="317">
        <f t="shared" si="106"/>
        <v>0</v>
      </c>
      <c r="H127" s="318">
        <f t="shared" si="114"/>
        <v>0</v>
      </c>
      <c r="I127" s="319"/>
      <c r="J127" s="320">
        <f t="shared" si="107"/>
        <v>0</v>
      </c>
      <c r="K127" s="382"/>
      <c r="L127" s="321"/>
      <c r="M127" s="311">
        <f t="shared" si="136"/>
        <v>32</v>
      </c>
      <c r="N127" s="312">
        <f t="shared" si="137"/>
        <v>0</v>
      </c>
      <c r="O127" s="313">
        <f t="shared" si="117"/>
        <v>0</v>
      </c>
      <c r="P127" s="314"/>
      <c r="Q127" s="315">
        <f t="shared" si="124"/>
        <v>86</v>
      </c>
      <c r="R127" s="316">
        <v>1</v>
      </c>
      <c r="S127" s="317">
        <f t="shared" si="109"/>
        <v>0</v>
      </c>
      <c r="T127" s="318">
        <f t="shared" si="118"/>
        <v>0</v>
      </c>
      <c r="U127" s="319"/>
      <c r="V127" s="320">
        <f t="shared" si="119"/>
        <v>0</v>
      </c>
      <c r="W127" s="382"/>
      <c r="X127" s="322"/>
      <c r="Y127" s="311">
        <v>32</v>
      </c>
      <c r="Z127" s="312"/>
      <c r="AA127" s="313"/>
      <c r="AB127" s="314"/>
      <c r="AC127" s="315">
        <f t="shared" ref="AC127:AC129" si="138">AC126</f>
        <v>104</v>
      </c>
      <c r="AD127" s="316">
        <v>1</v>
      </c>
      <c r="AE127" s="317">
        <f t="shared" si="110"/>
        <v>0</v>
      </c>
      <c r="AF127" s="318"/>
      <c r="AG127" s="319"/>
      <c r="AH127" s="320">
        <f t="shared" si="120"/>
        <v>0</v>
      </c>
      <c r="AI127" s="382"/>
      <c r="AJ127" s="323">
        <f t="shared" si="121"/>
        <v>0</v>
      </c>
      <c r="AK127" s="160">
        <f t="shared" si="122"/>
        <v>0</v>
      </c>
      <c r="AL127" s="344"/>
      <c r="AM127" s="325">
        <f t="shared" si="123"/>
        <v>0</v>
      </c>
      <c r="AN127" s="326">
        <v>310</v>
      </c>
      <c r="AP127" s="327"/>
      <c r="AQ127" s="328"/>
      <c r="AR127" s="329"/>
      <c r="AS127" s="328"/>
      <c r="AT127" s="328"/>
      <c r="AU127" s="328"/>
      <c r="AV127" s="328"/>
      <c r="AW127" s="328"/>
      <c r="AX127" s="328"/>
    </row>
    <row r="128" spans="1:50" s="326" customFormat="1" hidden="1">
      <c r="A128" s="311">
        <f t="shared" si="133"/>
        <v>33</v>
      </c>
      <c r="B128" s="312">
        <f t="shared" si="134"/>
        <v>0</v>
      </c>
      <c r="C128" s="313">
        <f t="shared" si="135"/>
        <v>0</v>
      </c>
      <c r="D128" s="314"/>
      <c r="E128" s="315">
        <f t="shared" si="130"/>
        <v>18</v>
      </c>
      <c r="F128" s="316">
        <v>1</v>
      </c>
      <c r="G128" s="317">
        <f t="shared" si="106"/>
        <v>0</v>
      </c>
      <c r="H128" s="318">
        <f t="shared" si="114"/>
        <v>0</v>
      </c>
      <c r="I128" s="319"/>
      <c r="J128" s="320">
        <f t="shared" si="107"/>
        <v>0</v>
      </c>
      <c r="K128" s="382"/>
      <c r="L128" s="321"/>
      <c r="M128" s="311">
        <f t="shared" si="136"/>
        <v>33</v>
      </c>
      <c r="N128" s="312">
        <f t="shared" si="137"/>
        <v>0</v>
      </c>
      <c r="O128" s="313">
        <f t="shared" si="117"/>
        <v>0</v>
      </c>
      <c r="P128" s="314"/>
      <c r="Q128" s="315">
        <f t="shared" si="124"/>
        <v>86</v>
      </c>
      <c r="R128" s="316">
        <v>1</v>
      </c>
      <c r="S128" s="317">
        <f t="shared" si="109"/>
        <v>0</v>
      </c>
      <c r="T128" s="318">
        <f t="shared" si="118"/>
        <v>0</v>
      </c>
      <c r="U128" s="319"/>
      <c r="V128" s="320">
        <f t="shared" si="119"/>
        <v>0</v>
      </c>
      <c r="W128" s="382"/>
      <c r="X128" s="322"/>
      <c r="Y128" s="311">
        <v>33</v>
      </c>
      <c r="Z128" s="312"/>
      <c r="AA128" s="313"/>
      <c r="AB128" s="314"/>
      <c r="AC128" s="315">
        <f t="shared" si="138"/>
        <v>104</v>
      </c>
      <c r="AD128" s="316">
        <v>1</v>
      </c>
      <c r="AE128" s="317">
        <f t="shared" si="110"/>
        <v>0</v>
      </c>
      <c r="AF128" s="318"/>
      <c r="AG128" s="319"/>
      <c r="AH128" s="320">
        <f t="shared" si="120"/>
        <v>0</v>
      </c>
      <c r="AI128" s="382"/>
      <c r="AJ128" s="323">
        <f t="shared" si="121"/>
        <v>0</v>
      </c>
      <c r="AK128" s="160">
        <f t="shared" si="122"/>
        <v>0</v>
      </c>
      <c r="AL128" s="344"/>
      <c r="AM128" s="325">
        <f t="shared" si="123"/>
        <v>0</v>
      </c>
      <c r="AN128" s="326">
        <v>310</v>
      </c>
      <c r="AP128" s="327"/>
      <c r="AQ128" s="328"/>
      <c r="AR128" s="329"/>
      <c r="AS128" s="328"/>
      <c r="AT128" s="328"/>
      <c r="AU128" s="328"/>
      <c r="AV128" s="328"/>
      <c r="AW128" s="328"/>
      <c r="AX128" s="328"/>
    </row>
    <row r="129" spans="1:50" s="326" customFormat="1" hidden="1">
      <c r="A129" s="311">
        <f t="shared" si="133"/>
        <v>34</v>
      </c>
      <c r="B129" s="312">
        <f t="shared" si="134"/>
        <v>0</v>
      </c>
      <c r="C129" s="313">
        <f t="shared" si="135"/>
        <v>0</v>
      </c>
      <c r="D129" s="314"/>
      <c r="E129" s="315">
        <f t="shared" si="130"/>
        <v>18</v>
      </c>
      <c r="F129" s="316">
        <v>1</v>
      </c>
      <c r="G129" s="317">
        <f t="shared" si="106"/>
        <v>0</v>
      </c>
      <c r="H129" s="318">
        <f t="shared" si="114"/>
        <v>0</v>
      </c>
      <c r="I129" s="319"/>
      <c r="J129" s="320">
        <f t="shared" si="107"/>
        <v>0</v>
      </c>
      <c r="K129" s="382"/>
      <c r="L129" s="321"/>
      <c r="M129" s="311">
        <f t="shared" si="136"/>
        <v>34</v>
      </c>
      <c r="N129" s="312">
        <f t="shared" si="137"/>
        <v>0</v>
      </c>
      <c r="O129" s="313">
        <f t="shared" si="117"/>
        <v>0</v>
      </c>
      <c r="P129" s="314"/>
      <c r="Q129" s="315">
        <f t="shared" si="124"/>
        <v>86</v>
      </c>
      <c r="R129" s="316">
        <v>1</v>
      </c>
      <c r="S129" s="317">
        <f t="shared" si="109"/>
        <v>0</v>
      </c>
      <c r="T129" s="318">
        <f t="shared" si="118"/>
        <v>0</v>
      </c>
      <c r="U129" s="319"/>
      <c r="V129" s="320">
        <f t="shared" si="119"/>
        <v>0</v>
      </c>
      <c r="W129" s="382"/>
      <c r="X129" s="322"/>
      <c r="Y129" s="311">
        <v>34</v>
      </c>
      <c r="Z129" s="312"/>
      <c r="AA129" s="313"/>
      <c r="AB129" s="314"/>
      <c r="AC129" s="315">
        <f t="shared" si="138"/>
        <v>104</v>
      </c>
      <c r="AD129" s="316">
        <v>1</v>
      </c>
      <c r="AE129" s="317">
        <f t="shared" si="110"/>
        <v>0</v>
      </c>
      <c r="AF129" s="318"/>
      <c r="AG129" s="319"/>
      <c r="AH129" s="320">
        <f t="shared" si="120"/>
        <v>0</v>
      </c>
      <c r="AI129" s="382"/>
      <c r="AJ129" s="323">
        <f t="shared" si="121"/>
        <v>0</v>
      </c>
      <c r="AK129" s="160">
        <f t="shared" si="122"/>
        <v>0</v>
      </c>
      <c r="AL129" s="344"/>
      <c r="AM129" s="325">
        <f t="shared" si="123"/>
        <v>0</v>
      </c>
      <c r="AN129" s="326">
        <v>310</v>
      </c>
      <c r="AP129" s="327"/>
      <c r="AQ129" s="328"/>
      <c r="AR129" s="329"/>
      <c r="AS129" s="328"/>
      <c r="AT129" s="328"/>
      <c r="AU129" s="328"/>
      <c r="AV129" s="328"/>
      <c r="AW129" s="328"/>
      <c r="AX129" s="328"/>
    </row>
    <row r="130" spans="1:50" s="326" customFormat="1" ht="35.25" hidden="1">
      <c r="A130" s="311">
        <f t="shared" si="133"/>
        <v>35</v>
      </c>
      <c r="B130" s="312">
        <f t="shared" si="134"/>
        <v>0</v>
      </c>
      <c r="C130" s="313">
        <f t="shared" si="135"/>
        <v>0</v>
      </c>
      <c r="D130" s="314"/>
      <c r="E130" s="315">
        <f t="shared" si="130"/>
        <v>18</v>
      </c>
      <c r="F130" s="316">
        <v>1</v>
      </c>
      <c r="G130" s="317">
        <f t="shared" si="106"/>
        <v>0</v>
      </c>
      <c r="H130" s="318">
        <f t="shared" si="114"/>
        <v>0</v>
      </c>
      <c r="I130" s="319"/>
      <c r="J130" s="320">
        <f t="shared" si="107"/>
        <v>0</v>
      </c>
      <c r="K130" s="382"/>
      <c r="L130" s="321"/>
      <c r="M130" s="311">
        <f t="shared" si="136"/>
        <v>35</v>
      </c>
      <c r="N130" s="312">
        <f t="shared" si="137"/>
        <v>0</v>
      </c>
      <c r="O130" s="313">
        <f t="shared" si="117"/>
        <v>0</v>
      </c>
      <c r="P130" s="314"/>
      <c r="Q130" s="315">
        <f t="shared" si="124"/>
        <v>86</v>
      </c>
      <c r="R130" s="316">
        <v>1</v>
      </c>
      <c r="S130" s="317">
        <f t="shared" si="109"/>
        <v>0</v>
      </c>
      <c r="T130" s="318">
        <f t="shared" si="118"/>
        <v>0</v>
      </c>
      <c r="U130" s="319"/>
      <c r="V130" s="320">
        <f t="shared" si="119"/>
        <v>0</v>
      </c>
      <c r="W130" s="382"/>
      <c r="X130" s="322"/>
      <c r="Y130" s="311">
        <v>35</v>
      </c>
      <c r="Z130" s="312"/>
      <c r="AA130" s="313"/>
      <c r="AB130" s="314"/>
      <c r="AC130" s="315">
        <f>AC119</f>
        <v>104</v>
      </c>
      <c r="AD130" s="316">
        <v>1</v>
      </c>
      <c r="AE130" s="317">
        <f t="shared" si="110"/>
        <v>0</v>
      </c>
      <c r="AF130" s="318"/>
      <c r="AG130" s="319"/>
      <c r="AH130" s="320">
        <f t="shared" si="120"/>
        <v>0</v>
      </c>
      <c r="AI130" s="382"/>
      <c r="AJ130" s="323">
        <f t="shared" si="121"/>
        <v>0</v>
      </c>
      <c r="AK130" s="160">
        <f t="shared" si="122"/>
        <v>0</v>
      </c>
      <c r="AL130" s="344"/>
      <c r="AM130" s="325">
        <f t="shared" si="123"/>
        <v>0</v>
      </c>
      <c r="AN130" s="326">
        <v>310</v>
      </c>
      <c r="AP130" s="327"/>
      <c r="AQ130" s="328"/>
      <c r="AR130" s="329"/>
      <c r="AS130" s="329"/>
      <c r="AT130" s="345"/>
      <c r="AU130" s="346"/>
      <c r="AV130" s="346"/>
      <c r="AW130" s="328"/>
      <c r="AX130" s="328"/>
    </row>
    <row r="131" spans="1:50" ht="18.75" customHeight="1">
      <c r="A131" s="407" t="s">
        <v>25</v>
      </c>
      <c r="B131" s="408"/>
      <c r="C131" s="408"/>
      <c r="D131" s="408"/>
      <c r="E131" s="408"/>
      <c r="F131" s="408"/>
      <c r="G131" s="408"/>
      <c r="H131" s="408"/>
      <c r="I131" s="409"/>
      <c r="J131" s="258">
        <f>SUM(J95:J130)</f>
        <v>25835.742451923074</v>
      </c>
      <c r="K131" s="382"/>
      <c r="L131" s="64"/>
      <c r="M131" s="407" t="s">
        <v>25</v>
      </c>
      <c r="N131" s="408"/>
      <c r="O131" s="408"/>
      <c r="P131" s="408"/>
      <c r="Q131" s="408"/>
      <c r="R131" s="408"/>
      <c r="S131" s="408"/>
      <c r="T131" s="408"/>
      <c r="U131" s="409"/>
      <c r="V131" s="258">
        <f>SUM(V95:V130)</f>
        <v>25835.742451923074</v>
      </c>
      <c r="W131" s="382"/>
      <c r="X131" s="76"/>
      <c r="Y131" s="407" t="s">
        <v>25</v>
      </c>
      <c r="Z131" s="408"/>
      <c r="AA131" s="408"/>
      <c r="AB131" s="408"/>
      <c r="AC131" s="408"/>
      <c r="AD131" s="408"/>
      <c r="AE131" s="408"/>
      <c r="AF131" s="408"/>
      <c r="AG131" s="409"/>
      <c r="AH131" s="258">
        <f>SUM(AH95:AH130)</f>
        <v>25723.434759615382</v>
      </c>
      <c r="AI131" s="382"/>
      <c r="AJ131" s="163">
        <f>AH131*AC124+V131*Q122+E122*J131</f>
        <v>5362154.43</v>
      </c>
      <c r="AK131" s="156">
        <f>SUM(AK95:AK130)</f>
        <v>5362154.43</v>
      </c>
      <c r="AL131" s="152"/>
      <c r="AO131" s="243"/>
      <c r="AP131" s="192"/>
      <c r="AQ131" s="192"/>
      <c r="AR131" s="192"/>
      <c r="AS131" s="245"/>
      <c r="AT131" s="245"/>
      <c r="AU131" s="245"/>
      <c r="AV131" s="192"/>
      <c r="AW131" s="192"/>
    </row>
    <row r="132" spans="1:50" ht="15" customHeight="1">
      <c r="A132" s="399" t="s">
        <v>87</v>
      </c>
      <c r="B132" s="400"/>
      <c r="C132" s="400"/>
      <c r="D132" s="400"/>
      <c r="E132" s="400"/>
      <c r="F132" s="400"/>
      <c r="G132" s="400"/>
      <c r="H132" s="400"/>
      <c r="I132" s="401"/>
      <c r="J132" s="251">
        <f>J61+J70+J72+J77+J80+J93+J131</f>
        <v>60437.10219499997</v>
      </c>
      <c r="K132" s="382"/>
      <c r="L132" s="64"/>
      <c r="M132" s="399" t="s">
        <v>87</v>
      </c>
      <c r="N132" s="400"/>
      <c r="O132" s="400"/>
      <c r="P132" s="400"/>
      <c r="Q132" s="400"/>
      <c r="R132" s="400"/>
      <c r="S132" s="400"/>
      <c r="T132" s="400"/>
      <c r="U132" s="401"/>
      <c r="V132" s="251">
        <f>V61+V70+V72+V77+V80+V93+V131</f>
        <v>60437.10219499997</v>
      </c>
      <c r="W132" s="382"/>
      <c r="X132" s="76"/>
      <c r="Y132" s="418" t="s">
        <v>220</v>
      </c>
      <c r="Z132" s="400"/>
      <c r="AA132" s="400"/>
      <c r="AB132" s="400"/>
      <c r="AC132" s="400"/>
      <c r="AD132" s="400"/>
      <c r="AE132" s="400"/>
      <c r="AF132" s="400"/>
      <c r="AG132" s="401"/>
      <c r="AH132" s="251">
        <f>AH61+AH70+AH72+AH77+AH80+AH93+AH131</f>
        <v>90011.019824230767</v>
      </c>
      <c r="AI132" s="382"/>
      <c r="AJ132" s="164">
        <f>AK131-AJ131</f>
        <v>0</v>
      </c>
      <c r="AO132" s="244"/>
      <c r="AP132" s="192"/>
      <c r="AQ132" s="192"/>
      <c r="AR132" s="192"/>
      <c r="AS132" s="245"/>
      <c r="AT132" s="245"/>
      <c r="AU132" s="245"/>
      <c r="AV132" s="192"/>
      <c r="AW132" s="192"/>
    </row>
    <row r="133" spans="1:50" ht="15" customHeight="1" thickBot="1">
      <c r="A133" s="396" t="s">
        <v>88</v>
      </c>
      <c r="B133" s="397"/>
      <c r="C133" s="397"/>
      <c r="D133" s="397"/>
      <c r="E133" s="397"/>
      <c r="F133" s="397"/>
      <c r="G133" s="397"/>
      <c r="H133" s="397"/>
      <c r="I133" s="398"/>
      <c r="J133" s="259">
        <f>J132+J52</f>
        <v>134230.42270782049</v>
      </c>
      <c r="K133" s="383"/>
      <c r="M133" s="396" t="s">
        <v>88</v>
      </c>
      <c r="N133" s="397"/>
      <c r="O133" s="397"/>
      <c r="P133" s="397"/>
      <c r="Q133" s="397"/>
      <c r="R133" s="397"/>
      <c r="S133" s="397"/>
      <c r="T133" s="397"/>
      <c r="U133" s="398"/>
      <c r="V133" s="259">
        <f>V132+V52</f>
        <v>136679.66301789798</v>
      </c>
      <c r="W133" s="383"/>
      <c r="Y133" s="396" t="s">
        <v>88</v>
      </c>
      <c r="Z133" s="397"/>
      <c r="AA133" s="397"/>
      <c r="AB133" s="397"/>
      <c r="AC133" s="397"/>
      <c r="AD133" s="397"/>
      <c r="AE133" s="397"/>
      <c r="AF133" s="397"/>
      <c r="AG133" s="398"/>
      <c r="AH133" s="259">
        <f>AH132+AH52</f>
        <v>128872.83924730778</v>
      </c>
      <c r="AI133" s="383"/>
      <c r="AO133" s="244"/>
      <c r="AP133" s="193"/>
      <c r="AQ133" s="193"/>
      <c r="AR133" s="193"/>
      <c r="AS133" s="192"/>
      <c r="AT133" s="192"/>
      <c r="AU133" s="192"/>
      <c r="AV133" s="192"/>
      <c r="AW133" s="192"/>
    </row>
    <row r="134" spans="1:50">
      <c r="I134" s="2">
        <f>E125</f>
        <v>18</v>
      </c>
      <c r="J134" s="260">
        <f>J133*I134</f>
        <v>2416147.6087407689</v>
      </c>
      <c r="U134" s="2">
        <f>Q125</f>
        <v>86</v>
      </c>
      <c r="V134" s="260">
        <f>V133*U134</f>
        <v>11754451.019539226</v>
      </c>
      <c r="AG134" s="2">
        <f>AC130</f>
        <v>104</v>
      </c>
      <c r="AH134" s="260">
        <f>AH133*AC130</f>
        <v>13402775.281720009</v>
      </c>
    </row>
    <row r="135" spans="1:50">
      <c r="J135" s="260"/>
      <c r="V135" s="260"/>
      <c r="AH135" s="260"/>
    </row>
    <row r="136" spans="1:50">
      <c r="AG136" s="165" t="s">
        <v>188</v>
      </c>
      <c r="AH136" s="265">
        <f>AH134+V134+J134</f>
        <v>27573373.910000004</v>
      </c>
      <c r="AJ136" s="8"/>
      <c r="AT136" s="16"/>
    </row>
    <row r="137" spans="1:50">
      <c r="AG137" s="119" t="s">
        <v>95</v>
      </c>
      <c r="AH137" s="266">
        <v>26420254.57</v>
      </c>
      <c r="AJ137" s="16"/>
    </row>
    <row r="138" spans="1:50">
      <c r="AE138" s="15"/>
      <c r="AF138" s="242" t="s">
        <v>217</v>
      </c>
      <c r="AG138" s="119" t="s">
        <v>189</v>
      </c>
      <c r="AH138" s="267">
        <v>1153119.3400000001</v>
      </c>
    </row>
    <row r="139" spans="1:50">
      <c r="AE139" s="16"/>
      <c r="AH139" s="268">
        <f>AH137+AH138-AH136</f>
        <v>0</v>
      </c>
    </row>
    <row r="141" spans="1:50">
      <c r="AE141" s="119" t="s">
        <v>208</v>
      </c>
      <c r="AF141" s="119" t="s">
        <v>209</v>
      </c>
      <c r="AG141" s="119" t="s">
        <v>223</v>
      </c>
    </row>
    <row r="142" spans="1:50">
      <c r="AC142" s="188" t="s">
        <v>204</v>
      </c>
      <c r="AE142" s="2">
        <v>74080</v>
      </c>
      <c r="AF142" s="2">
        <v>75880</v>
      </c>
      <c r="AG142" s="2">
        <v>75540</v>
      </c>
      <c r="AH142" s="2">
        <v>18800</v>
      </c>
      <c r="AI142" s="236"/>
      <c r="AK142" s="2"/>
      <c r="AL142" s="130"/>
      <c r="AM142" s="269"/>
    </row>
    <row r="143" spans="1:50">
      <c r="AC143" s="119" t="s">
        <v>192</v>
      </c>
      <c r="AD143" s="186" t="s">
        <v>79</v>
      </c>
      <c r="AE143" s="153">
        <f>4640273.73+1401362.66</f>
        <v>6041636.3900000006</v>
      </c>
      <c r="AF143" s="153">
        <f>5959208.91+1799681.09</f>
        <v>7758890</v>
      </c>
      <c r="AG143" s="153"/>
      <c r="AH143" s="153">
        <f>4495086.88+1357516.24</f>
        <v>5852603.1200000001</v>
      </c>
      <c r="AI143" s="236">
        <f t="shared" ref="AI143:AI154" si="139">SUM(AE143:AH143)</f>
        <v>19653129.510000002</v>
      </c>
      <c r="AJ143" s="153"/>
      <c r="AK143" s="153"/>
      <c r="AL143" s="130"/>
      <c r="AM143" s="269"/>
    </row>
    <row r="144" spans="1:50">
      <c r="AC144" s="119" t="s">
        <v>193</v>
      </c>
      <c r="AD144" s="187">
        <v>212</v>
      </c>
      <c r="AE144" s="153">
        <v>15000</v>
      </c>
      <c r="AF144" s="153">
        <v>11250</v>
      </c>
      <c r="AG144" s="153"/>
      <c r="AH144" s="153"/>
      <c r="AI144" s="236">
        <f t="shared" si="139"/>
        <v>26250</v>
      </c>
      <c r="AJ144" s="153"/>
      <c r="AK144" s="153"/>
      <c r="AL144" s="130"/>
      <c r="AM144" s="269"/>
    </row>
    <row r="145" spans="28:39">
      <c r="AC145" s="119" t="s">
        <v>194</v>
      </c>
      <c r="AD145" s="187">
        <v>212</v>
      </c>
      <c r="AE145" s="153"/>
      <c r="AF145" s="153"/>
      <c r="AG145" s="153"/>
      <c r="AH145" s="153">
        <v>900</v>
      </c>
      <c r="AI145" s="236">
        <f t="shared" si="139"/>
        <v>900</v>
      </c>
      <c r="AJ145" s="153"/>
      <c r="AK145" s="153"/>
      <c r="AL145" s="130"/>
      <c r="AM145" s="269"/>
    </row>
    <row r="146" spans="28:39">
      <c r="AC146" s="119" t="s">
        <v>195</v>
      </c>
      <c r="AD146" s="187">
        <v>221</v>
      </c>
      <c r="AE146" s="153">
        <v>60000</v>
      </c>
      <c r="AF146" s="153"/>
      <c r="AG146" s="153"/>
      <c r="AH146" s="153">
        <v>82956.240000000005</v>
      </c>
      <c r="AI146" s="236">
        <f t="shared" si="139"/>
        <v>142956.24</v>
      </c>
      <c r="AJ146" s="153"/>
      <c r="AK146" s="153"/>
      <c r="AL146" s="130"/>
      <c r="AM146" s="269"/>
    </row>
    <row r="147" spans="28:39">
      <c r="AC147" s="119" t="s">
        <v>196</v>
      </c>
      <c r="AD147" s="187">
        <v>222</v>
      </c>
      <c r="AE147" s="153"/>
      <c r="AF147" s="153"/>
      <c r="AG147" s="153"/>
      <c r="AH147" s="153">
        <v>15000</v>
      </c>
      <c r="AI147" s="236">
        <f t="shared" si="139"/>
        <v>15000</v>
      </c>
      <c r="AJ147" s="153"/>
      <c r="AK147" s="153"/>
      <c r="AL147" s="130"/>
      <c r="AM147" s="269"/>
    </row>
    <row r="148" spans="28:39">
      <c r="AC148" s="119" t="s">
        <v>197</v>
      </c>
      <c r="AD148" s="187">
        <v>223</v>
      </c>
      <c r="AE148" s="153"/>
      <c r="AF148" s="153"/>
      <c r="AG148" s="153"/>
      <c r="AH148" s="153">
        <v>1726243.88</v>
      </c>
      <c r="AI148" s="236">
        <f t="shared" si="139"/>
        <v>1726243.88</v>
      </c>
      <c r="AJ148" s="153"/>
      <c r="AK148" s="153"/>
      <c r="AL148" s="130"/>
      <c r="AM148" s="269"/>
    </row>
    <row r="149" spans="28:39">
      <c r="AC149" s="119" t="s">
        <v>203</v>
      </c>
      <c r="AD149" s="187"/>
      <c r="AE149" s="153"/>
      <c r="AF149" s="153"/>
      <c r="AG149" s="153"/>
      <c r="AH149" s="153"/>
      <c r="AI149" s="236">
        <f t="shared" si="139"/>
        <v>0</v>
      </c>
      <c r="AJ149" s="153"/>
      <c r="AK149" s="153"/>
      <c r="AL149" s="130"/>
      <c r="AM149" s="269"/>
    </row>
    <row r="150" spans="28:39">
      <c r="AB150" s="119"/>
      <c r="AC150" s="119" t="s">
        <v>198</v>
      </c>
      <c r="AD150" s="187">
        <v>225</v>
      </c>
      <c r="AE150" s="153"/>
      <c r="AF150" s="153"/>
      <c r="AG150" s="153"/>
      <c r="AH150" s="153">
        <v>492549.85</v>
      </c>
      <c r="AI150" s="236">
        <f t="shared" si="139"/>
        <v>492549.85</v>
      </c>
      <c r="AJ150" s="153"/>
      <c r="AK150" s="153"/>
      <c r="AL150" s="130"/>
      <c r="AM150" s="269"/>
    </row>
    <row r="151" spans="28:39">
      <c r="AC151" s="119" t="s">
        <v>199</v>
      </c>
      <c r="AD151" s="187">
        <v>226</v>
      </c>
      <c r="AE151" s="153">
        <v>100000</v>
      </c>
      <c r="AF151" s="153">
        <v>45000</v>
      </c>
      <c r="AG151" s="153">
        <v>0</v>
      </c>
      <c r="AH151" s="153">
        <v>442252.66</v>
      </c>
      <c r="AI151" s="236">
        <f t="shared" si="139"/>
        <v>587252.65999999992</v>
      </c>
      <c r="AJ151" s="153"/>
      <c r="AK151" s="153"/>
      <c r="AL151" s="130"/>
      <c r="AM151" s="269"/>
    </row>
    <row r="152" spans="28:39">
      <c r="AC152" s="119" t="s">
        <v>200</v>
      </c>
      <c r="AD152" s="187">
        <v>290</v>
      </c>
      <c r="AE152" s="153"/>
      <c r="AF152" s="153"/>
      <c r="AG152" s="153"/>
      <c r="AH152" s="153">
        <v>2000</v>
      </c>
      <c r="AI152" s="236">
        <f t="shared" si="139"/>
        <v>2000</v>
      </c>
      <c r="AJ152" s="153"/>
      <c r="AK152" s="153"/>
      <c r="AL152" s="130"/>
      <c r="AM152" s="269"/>
    </row>
    <row r="153" spans="28:39">
      <c r="AC153" s="119" t="s">
        <v>201</v>
      </c>
      <c r="AD153" s="187">
        <v>310</v>
      </c>
      <c r="AE153" s="153"/>
      <c r="AF153" s="153"/>
      <c r="AG153" s="153"/>
      <c r="AH153" s="153"/>
      <c r="AI153" s="236">
        <f t="shared" si="139"/>
        <v>0</v>
      </c>
      <c r="AJ153" s="153"/>
      <c r="AK153" s="153"/>
      <c r="AL153" s="130"/>
      <c r="AM153" s="269"/>
    </row>
    <row r="154" spans="28:39">
      <c r="AC154" s="119" t="s">
        <v>202</v>
      </c>
      <c r="AD154" s="7">
        <v>340</v>
      </c>
      <c r="AE154" s="153">
        <v>55090</v>
      </c>
      <c r="AF154" s="153">
        <v>70000</v>
      </c>
      <c r="AG154" s="153"/>
      <c r="AH154" s="153">
        <v>3648882.43</v>
      </c>
      <c r="AI154" s="236">
        <f t="shared" si="139"/>
        <v>3773972.43</v>
      </c>
      <c r="AJ154" s="153"/>
      <c r="AK154" s="153"/>
      <c r="AL154" s="130"/>
      <c r="AM154" s="269"/>
    </row>
    <row r="155" spans="28:39">
      <c r="AE155" s="153">
        <f>SUM(AE143:AE154)</f>
        <v>6271726.3900000006</v>
      </c>
      <c r="AF155" s="153">
        <f>SUM(AF143:AF154)</f>
        <v>7885140</v>
      </c>
      <c r="AG155" s="153">
        <f>SUM(AG143:AG154)</f>
        <v>0</v>
      </c>
      <c r="AH155" s="153">
        <f>SUM(AH143:AH154)</f>
        <v>12263388.18</v>
      </c>
      <c r="AI155" s="236">
        <f>SUM(AI143:AI154)</f>
        <v>26420254.57</v>
      </c>
      <c r="AJ155" s="241" t="s">
        <v>216</v>
      </c>
      <c r="AK155" s="153">
        <f>AH137-AI155</f>
        <v>0</v>
      </c>
      <c r="AL155" s="130"/>
      <c r="AM155" s="269"/>
    </row>
    <row r="156" spans="28:39">
      <c r="AE156" s="153"/>
      <c r="AF156" s="153"/>
      <c r="AG156" s="153"/>
      <c r="AI156" s="153"/>
      <c r="AJ156" s="153"/>
    </row>
    <row r="157" spans="28:39">
      <c r="AE157" s="153"/>
      <c r="AF157" s="153"/>
      <c r="AG157" s="153"/>
      <c r="AI157" s="153"/>
      <c r="AJ157" s="153"/>
    </row>
    <row r="159" spans="28:39">
      <c r="AD159" s="2"/>
    </row>
    <row r="161" spans="30:30">
      <c r="AD161" s="2"/>
    </row>
    <row r="162" spans="30:30">
      <c r="AD162" s="2"/>
    </row>
    <row r="163" spans="30:30">
      <c r="AD163" s="2"/>
    </row>
    <row r="164" spans="30:30">
      <c r="AD164" s="2"/>
    </row>
    <row r="165" spans="30:30">
      <c r="AD165" s="2"/>
    </row>
    <row r="166" spans="30:30">
      <c r="AD166" s="2"/>
    </row>
    <row r="167" spans="30:30">
      <c r="AD167" s="2"/>
    </row>
  </sheetData>
  <mergeCells count="214">
    <mergeCell ref="O34:P34"/>
    <mergeCell ref="O35:P35"/>
    <mergeCell ref="O36:P36"/>
    <mergeCell ref="O37:P37"/>
    <mergeCell ref="O38:P38"/>
    <mergeCell ref="O39:P39"/>
    <mergeCell ref="O40:P40"/>
    <mergeCell ref="O41:P41"/>
    <mergeCell ref="C34:D34"/>
    <mergeCell ref="C35:D35"/>
    <mergeCell ref="C36:D36"/>
    <mergeCell ref="C37:D37"/>
    <mergeCell ref="C38:D38"/>
    <mergeCell ref="C39:D39"/>
    <mergeCell ref="C40:D40"/>
    <mergeCell ref="C41:D41"/>
    <mergeCell ref="A52:I52"/>
    <mergeCell ref="A80:I80"/>
    <mergeCell ref="A81:K81"/>
    <mergeCell ref="A93:I93"/>
    <mergeCell ref="A94:K94"/>
    <mergeCell ref="A131:I131"/>
    <mergeCell ref="A132:I132"/>
    <mergeCell ref="A133:I133"/>
    <mergeCell ref="A55:K55"/>
    <mergeCell ref="A61:I61"/>
    <mergeCell ref="A62:K62"/>
    <mergeCell ref="A70:I70"/>
    <mergeCell ref="A71:K71"/>
    <mergeCell ref="A72:I72"/>
    <mergeCell ref="A73:K73"/>
    <mergeCell ref="A77:I77"/>
    <mergeCell ref="A78:K78"/>
    <mergeCell ref="K82:K93"/>
    <mergeCell ref="K95:K133"/>
    <mergeCell ref="C30:D30"/>
    <mergeCell ref="C31:D31"/>
    <mergeCell ref="C45:D45"/>
    <mergeCell ref="C46:D46"/>
    <mergeCell ref="A47:K47"/>
    <mergeCell ref="C48:D48"/>
    <mergeCell ref="C49:D49"/>
    <mergeCell ref="C50:D50"/>
    <mergeCell ref="A51:I51"/>
    <mergeCell ref="C5:D5"/>
    <mergeCell ref="C6:D6"/>
    <mergeCell ref="A7:K7"/>
    <mergeCell ref="C8:D8"/>
    <mergeCell ref="C32:D32"/>
    <mergeCell ref="C42:D42"/>
    <mergeCell ref="C24:D24"/>
    <mergeCell ref="C25:D25"/>
    <mergeCell ref="C26:D26"/>
    <mergeCell ref="C27:D27"/>
    <mergeCell ref="C14:D14"/>
    <mergeCell ref="A15:I15"/>
    <mergeCell ref="C17:D17"/>
    <mergeCell ref="C18:D18"/>
    <mergeCell ref="A19:K19"/>
    <mergeCell ref="C20:D20"/>
    <mergeCell ref="K20:K43"/>
    <mergeCell ref="C21:D21"/>
    <mergeCell ref="C22:D22"/>
    <mergeCell ref="C23:D23"/>
    <mergeCell ref="A43:I43"/>
    <mergeCell ref="C33:D33"/>
    <mergeCell ref="C28:D28"/>
    <mergeCell ref="C29:D29"/>
    <mergeCell ref="AS9:AS15"/>
    <mergeCell ref="M19:W19"/>
    <mergeCell ref="C9:D9"/>
    <mergeCell ref="C10:D10"/>
    <mergeCell ref="C11:D11"/>
    <mergeCell ref="C12:D12"/>
    <mergeCell ref="O46:P46"/>
    <mergeCell ref="O29:P29"/>
    <mergeCell ref="O30:P30"/>
    <mergeCell ref="O33:P33"/>
    <mergeCell ref="O32:P32"/>
    <mergeCell ref="O25:P25"/>
    <mergeCell ref="O26:P26"/>
    <mergeCell ref="O27:P27"/>
    <mergeCell ref="AA30:AB30"/>
    <mergeCell ref="AA31:AB31"/>
    <mergeCell ref="AA32:AB32"/>
    <mergeCell ref="AA33:AB33"/>
    <mergeCell ref="AA26:AB26"/>
    <mergeCell ref="AA27:AB27"/>
    <mergeCell ref="AA28:AB28"/>
    <mergeCell ref="AA29:AB29"/>
    <mergeCell ref="M15:U15"/>
    <mergeCell ref="W20:W43"/>
    <mergeCell ref="O31:P31"/>
    <mergeCell ref="M70:U70"/>
    <mergeCell ref="M71:W71"/>
    <mergeCell ref="O5:P5"/>
    <mergeCell ref="O6:P6"/>
    <mergeCell ref="O9:P9"/>
    <mergeCell ref="O10:P10"/>
    <mergeCell ref="O42:P42"/>
    <mergeCell ref="O45:P45"/>
    <mergeCell ref="O28:P28"/>
    <mergeCell ref="O12:P12"/>
    <mergeCell ref="O14:P14"/>
    <mergeCell ref="O17:P17"/>
    <mergeCell ref="O11:P11"/>
    <mergeCell ref="M7:W7"/>
    <mergeCell ref="O8:P8"/>
    <mergeCell ref="M47:W47"/>
    <mergeCell ref="M43:U43"/>
    <mergeCell ref="O22:P22"/>
    <mergeCell ref="O23:P23"/>
    <mergeCell ref="O24:P24"/>
    <mergeCell ref="O18:P18"/>
    <mergeCell ref="O20:P20"/>
    <mergeCell ref="O21:P21"/>
    <mergeCell ref="AA17:AB17"/>
    <mergeCell ref="AA18:AB18"/>
    <mergeCell ref="Y19:AI19"/>
    <mergeCell ref="AA20:AB20"/>
    <mergeCell ref="AI20:AI43"/>
    <mergeCell ref="AA21:AB21"/>
    <mergeCell ref="AA22:AB22"/>
    <mergeCell ref="AA23:AB23"/>
    <mergeCell ref="AA24:AB24"/>
    <mergeCell ref="AA25:AB25"/>
    <mergeCell ref="AA34:AB34"/>
    <mergeCell ref="AA35:AB35"/>
    <mergeCell ref="AA36:AB36"/>
    <mergeCell ref="AA37:AB37"/>
    <mergeCell ref="AA38:AB38"/>
    <mergeCell ref="Y15:AG15"/>
    <mergeCell ref="AA5:AB5"/>
    <mergeCell ref="AA6:AB6"/>
    <mergeCell ref="Y7:AI7"/>
    <mergeCell ref="AA8:AB8"/>
    <mergeCell ref="AA9:AB9"/>
    <mergeCell ref="AA10:AB10"/>
    <mergeCell ref="AA11:AB11"/>
    <mergeCell ref="AA12:AB12"/>
    <mergeCell ref="AA14:AB14"/>
    <mergeCell ref="AA42:AB42"/>
    <mergeCell ref="Y43:AG43"/>
    <mergeCell ref="AA45:AB45"/>
    <mergeCell ref="AA46:AB46"/>
    <mergeCell ref="Y47:AI47"/>
    <mergeCell ref="Y70:AG70"/>
    <mergeCell ref="AA48:AB48"/>
    <mergeCell ref="AA49:AB49"/>
    <mergeCell ref="AA50:AB50"/>
    <mergeCell ref="Y52:AG52"/>
    <mergeCell ref="Y55:AI55"/>
    <mergeCell ref="Y61:AG61"/>
    <mergeCell ref="Y62:AI62"/>
    <mergeCell ref="Y51:AG51"/>
    <mergeCell ref="O48:P48"/>
    <mergeCell ref="O49:P49"/>
    <mergeCell ref="O50:P50"/>
    <mergeCell ref="M51:U51"/>
    <mergeCell ref="W95:W133"/>
    <mergeCell ref="Y132:AG132"/>
    <mergeCell ref="Y133:AG133"/>
    <mergeCell ref="M72:U72"/>
    <mergeCell ref="M73:W73"/>
    <mergeCell ref="M77:U77"/>
    <mergeCell ref="M78:W78"/>
    <mergeCell ref="M61:U61"/>
    <mergeCell ref="W48:W52"/>
    <mergeCell ref="W56:W61"/>
    <mergeCell ref="W63:W70"/>
    <mergeCell ref="W74:W77"/>
    <mergeCell ref="Y93:AG93"/>
    <mergeCell ref="Y94:AI94"/>
    <mergeCell ref="Y77:AG77"/>
    <mergeCell ref="Y78:AI78"/>
    <mergeCell ref="AI48:AI52"/>
    <mergeCell ref="AI56:AI61"/>
    <mergeCell ref="AI63:AI70"/>
    <mergeCell ref="AI74:AI77"/>
    <mergeCell ref="M80:U80"/>
    <mergeCell ref="M55:W55"/>
    <mergeCell ref="M62:W62"/>
    <mergeCell ref="Y131:AG131"/>
    <mergeCell ref="Y71:AI71"/>
    <mergeCell ref="Y72:AG72"/>
    <mergeCell ref="Y73:AI73"/>
    <mergeCell ref="W79:W80"/>
    <mergeCell ref="W82:W93"/>
    <mergeCell ref="Y80:AG80"/>
    <mergeCell ref="Y81:AI81"/>
    <mergeCell ref="C13:D13"/>
    <mergeCell ref="O13:P13"/>
    <mergeCell ref="AA13:AB13"/>
    <mergeCell ref="W8:W15"/>
    <mergeCell ref="AI8:AI14"/>
    <mergeCell ref="AI79:AI80"/>
    <mergeCell ref="AI82:AI93"/>
    <mergeCell ref="AI95:AI133"/>
    <mergeCell ref="B1:J1"/>
    <mergeCell ref="K8:K15"/>
    <mergeCell ref="A16:K16"/>
    <mergeCell ref="A44:K44"/>
    <mergeCell ref="K48:K52"/>
    <mergeCell ref="K56:K61"/>
    <mergeCell ref="K63:K70"/>
    <mergeCell ref="K79:K80"/>
    <mergeCell ref="K74:K77"/>
    <mergeCell ref="M133:U133"/>
    <mergeCell ref="M132:U132"/>
    <mergeCell ref="M52:U52"/>
    <mergeCell ref="M81:W81"/>
    <mergeCell ref="M93:U93"/>
    <mergeCell ref="M94:W94"/>
    <mergeCell ref="M131:U131"/>
  </mergeCells>
  <phoneticPr fontId="38" type="noConversion"/>
  <hyperlinks>
    <hyperlink ref="Y132" r:id="rId1"/>
  </hyperlinks>
  <pageMargins left="0.70866141732283472" right="0.70866141732283472" top="0.74803149606299213" bottom="0.74803149606299213" header="0.31496062992125984" footer="0.31496062992125984"/>
  <pageSetup paperSize="9" scale="40" fitToHeight="0" orientation="portrait" r:id="rId2"/>
  <rowBreaks count="1" manualBreakCount="1">
    <brk id="133" min="12" max="22" man="1"/>
  </rowBreaks>
  <colBreaks count="2" manualBreakCount="2">
    <brk id="12" max="138" man="1"/>
    <brk id="23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для ФУ</vt:lpstr>
      <vt:lpstr>расчет свод</vt:lpstr>
      <vt:lpstr>'для ФУ'!Область_печати</vt:lpstr>
      <vt:lpstr>'расчет свод'!Область_печати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2020-11-16T01:49:00Z</cp:lastPrinted>
  <dcterms:created xsi:type="dcterms:W3CDTF">2015-01-28T06:12:04Z</dcterms:created>
  <dcterms:modified xsi:type="dcterms:W3CDTF">2020-11-16T01:49:35Z</dcterms:modified>
</cp:coreProperties>
</file>